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mc:AlternateContent xmlns:mc="http://schemas.openxmlformats.org/markup-compatibility/2006">
    <mc:Choice Requires="x15">
      <x15ac:absPath xmlns:x15ac="http://schemas.microsoft.com/office/spreadsheetml/2010/11/ac" url="\\be-clfs.corp.ogk4.ru\NetDisk\Отделы\ПЭО\Котляревский_лич\раскрытие информации\раскрытие по ПП №108, 110\План 2024\Тарифы\ВС\"/>
    </mc:Choice>
  </mc:AlternateContent>
  <xr:revisionPtr revIDLastSave="0" documentId="14_{B5AB5556-B644-411E-9FC0-C1E56547B831}" xr6:coauthVersionLast="36" xr6:coauthVersionMax="36" xr10:uidLastSave="{00000000-0000-0000-0000-000000000000}"/>
  <bookViews>
    <workbookView xWindow="0" yWindow="0" windowWidth="28800" windowHeight="11685" tabRatio="870" activeTab="1" xr2:uid="{00000000-000D-0000-FFFF-FFFF0000000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Резерв мощности" sheetId="13" state="hidden" r:id="rId13"/>
    <sheet name="ТС. Т-ТН" sheetId="14" state="hidden" r:id="rId14"/>
    <sheet name="ТС. Т-передача ТЭ" sheetId="15" state="hidden" r:id="rId15"/>
    <sheet name="ТС. Т-передача ТН" sheetId="16" state="hidden" r:id="rId16"/>
    <sheet name="ТС. Т-гор.вода" sheetId="17" state="hidden" r:id="rId17"/>
    <sheet name="ТС. Т-подкл" sheetId="18" state="hidden" r:id="rId18"/>
    <sheet name="ХВС. Т-пит" sheetId="19" r:id="rId19"/>
    <sheet name="ХВС. Т-тех" sheetId="20" state="hidden" r:id="rId20"/>
    <sheet name="ХВС. Т-транс" sheetId="21" state="hidden" r:id="rId21"/>
    <sheet name="ХВС. Т-подвоз" sheetId="22" state="hidden" r:id="rId22"/>
    <sheet name="ХВС. Т-подкл" sheetId="23" state="hidden" r:id="rId23"/>
    <sheet name="ВО. Т-во" sheetId="24" state="hidden" r:id="rId24"/>
    <sheet name="ВО. Т-транс" sheetId="25" state="hidden" r:id="rId25"/>
    <sheet name="ВО. Т-подкл" sheetId="26" state="hidden" r:id="rId26"/>
    <sheet name="ГВС. Т-гор.вода" sheetId="27" state="hidden" r:id="rId27"/>
    <sheet name="ГВС. Т-транс" sheetId="28" state="hidden" r:id="rId28"/>
    <sheet name="ГВС. Т-подкл" sheetId="29" state="hidden" r:id="rId29"/>
    <sheet name="Показатели ФХД" sheetId="30" state="hidden" r:id="rId30"/>
    <sheet name="Показатели ФХД &gt;20%" sheetId="31" state="hidden" r:id="rId31"/>
    <sheet name="ТКО. Показатели ФХД" sheetId="32" state="hidden" r:id="rId32"/>
    <sheet name="ТКО. Транс. Показатели ФХД" sheetId="33" state="hidden" r:id="rId33"/>
    <sheet name="Показатели КНЭ" sheetId="34" state="hidden" r:id="rId34"/>
    <sheet name="Ограничения" sheetId="35" state="hidden" r:id="rId35"/>
    <sheet name="ИП" sheetId="36" state="hidden" r:id="rId36"/>
    <sheet name="ИП. Детализация" sheetId="37" state="hidden" r:id="rId37"/>
    <sheet name="ИП. Финансовый план" sheetId="38" state="hidden" r:id="rId38"/>
    <sheet name="ИП. КНЭ" sheetId="39" state="hidden" r:id="rId39"/>
    <sheet name="ТП" sheetId="40" state="hidden" r:id="rId40"/>
    <sheet name="Договоры" sheetId="41" state="hidden" r:id="rId41"/>
    <sheet name="Порядок ТП" sheetId="42" r:id="rId42"/>
    <sheet name="Предложение" sheetId="43" state="hidden" r:id="rId43"/>
    <sheet name="Сведения о закупках" sheetId="44" state="hidden" r:id="rId44"/>
    <sheet name="Потребительские характеристики" sheetId="45" state="hidden" r:id="rId45"/>
    <sheet name="ЭД" sheetId="46" state="hidden" r:id="rId46"/>
    <sheet name="Сведения об изменении" sheetId="47" r:id="rId47"/>
    <sheet name="Орган регулирования" sheetId="48" state="hidden" r:id="rId48"/>
    <sheet name="Перечень организаций" sheetId="49" state="hidden" r:id="rId49"/>
    <sheet name="Дела об установлении тарифов" sheetId="50" state="hidden" r:id="rId50"/>
    <sheet name="Привлечение к ответственности" sheetId="51" state="hidden" r:id="rId51"/>
    <sheet name="Комментарии" sheetId="52" r:id="rId52"/>
    <sheet name="Проверка" sheetId="53" state="hidden" r:id="rId53"/>
    <sheet name="et_union_hor" sheetId="54" state="hidden" r:id="rId54"/>
    <sheet name="TEHSHEET" sheetId="55" state="hidden" r:id="rId55"/>
    <sheet name="DATA_FORMS" sheetId="56" state="hidden" r:id="rId56"/>
    <sheet name="DATA_NPA" sheetId="57" state="hidden" r:id="rId57"/>
    <sheet name="Т-ТЭ | потр" sheetId="58" state="hidden" r:id="rId58"/>
    <sheet name="Т-ТЭ | предел" sheetId="59" state="hidden" r:id="rId59"/>
    <sheet name="Т-ТЭ | индикат" sheetId="60" state="hidden" r:id="rId60"/>
    <sheet name="Т-подкл(инд)" sheetId="61" state="hidden" r:id="rId61"/>
    <sheet name="modMainProcedures" sheetId="62" state="hidden" r:id="rId62"/>
    <sheet name="modB_FHD" sheetId="63" state="hidden" r:id="rId63"/>
    <sheet name="modB_FHD20" sheetId="64" state="hidden" r:id="rId64"/>
    <sheet name="modB_KNE" sheetId="65" state="hidden" r:id="rId65"/>
    <sheet name="modIP_MAIN" sheetId="66" state="hidden" r:id="rId66"/>
    <sheet name="modIP_QRE" sheetId="67" state="hidden" r:id="rId67"/>
    <sheet name="modIP_DETAILED" sheetId="68" state="hidden" r:id="rId68"/>
    <sheet name="et_union_vert" sheetId="69" state="hidden" r:id="rId69"/>
    <sheet name="Легенда" sheetId="70" state="hidden" r:id="rId70"/>
    <sheet name="modfrmListIP" sheetId="71" state="hidden" r:id="rId71"/>
    <sheet name="modfrmActivity" sheetId="72" state="hidden" r:id="rId72"/>
    <sheet name="REESTR_ORG" sheetId="73" state="hidden" r:id="rId73"/>
    <sheet name="REESTR_MO" sheetId="74" state="hidden" r:id="rId74"/>
    <sheet name="REESTR_IP" sheetId="75" state="hidden" r:id="rId75"/>
    <sheet name="REESTR_OBJ_INFR" sheetId="76" state="hidden" r:id="rId76"/>
    <sheet name="REESTR_DS" sheetId="77" state="hidden" r:id="rId77"/>
    <sheet name="REESTR_VT" sheetId="78" state="hidden" r:id="rId78"/>
    <sheet name="REESTR_VED" sheetId="79" state="hidden" r:id="rId79"/>
    <sheet name="REESTR_MO_FILTER" sheetId="80" state="hidden" r:id="rId80"/>
    <sheet name="REESTR_LINK" sheetId="81" state="hidden" r:id="rId81"/>
    <sheet name="modSheetMain" sheetId="82" state="hidden" r:id="rId82"/>
    <sheet name="modfrmReportMode" sheetId="83" state="hidden" r:id="rId83"/>
    <sheet name="modfrmReestrObj" sheetId="84" state="hidden" r:id="rId84"/>
    <sheet name="AllSheetsInThisWorkbook" sheetId="85" state="hidden" r:id="rId85"/>
    <sheet name="modInfo" sheetId="86" state="hidden" r:id="rId86"/>
  </sheets>
  <definedNames>
    <definedName name="_xlnm._FilterDatabase" localSheetId="52">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et_union_hor!$107:$115</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ТП'!$C$26:$C$43</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ТП'!$A$21:$A$43</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ТП'!$E$32</definedName>
    <definedName name="pIns_P_PROCEDURE_TC_3">'Порядок ТП'!$E$37</definedName>
    <definedName name="pIns_P_PROCEDURE_TC_4">'Порядок ТП'!$E$40</definedName>
    <definedName name="pIns_P_PROCEDURE_TC_5">'Порядок ТП'!$E$43</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Т-пит'!$AQ$37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fileRecoveryPr repairLoad="1"/>
</workbook>
</file>

<file path=xl/calcChain.xml><?xml version="1.0" encoding="utf-8"?>
<calcChain xmlns="http://schemas.openxmlformats.org/spreadsheetml/2006/main">
  <c r="R24" i="61" l="1"/>
  <c r="Y23" i="61"/>
  <c r="L23" i="61"/>
  <c r="L22" i="61"/>
  <c r="L21" i="61"/>
  <c r="L20" i="61"/>
  <c r="L19" i="61"/>
  <c r="O18" i="61"/>
  <c r="P18" i="61" s="1"/>
  <c r="Q18" i="61" s="1"/>
  <c r="R18" i="61" s="1"/>
  <c r="S18" i="61" s="1"/>
  <c r="T18" i="61" s="1"/>
  <c r="V18" i="61" s="1"/>
  <c r="X18" i="61" s="1"/>
  <c r="O10" i="61"/>
  <c r="O9" i="61"/>
  <c r="O8" i="61"/>
  <c r="O7" i="61"/>
  <c r="AA32" i="60"/>
  <c r="AA31" i="60"/>
  <c r="AA30" i="60"/>
  <c r="AA29" i="60"/>
  <c r="AA28" i="60"/>
  <c r="AA27" i="60"/>
  <c r="AA26" i="60"/>
  <c r="R26" i="60"/>
  <c r="AA25" i="60"/>
  <c r="Y25" i="60"/>
  <c r="AA24" i="60"/>
  <c r="AA23" i="60"/>
  <c r="AA22" i="60"/>
  <c r="O22" i="60"/>
  <c r="L22" i="60"/>
  <c r="F23" i="60" s="1"/>
  <c r="AA21" i="60"/>
  <c r="O21" i="60"/>
  <c r="L21" i="60"/>
  <c r="AA20" i="60"/>
  <c r="O20" i="60"/>
  <c r="L20" i="60"/>
  <c r="AA19" i="60"/>
  <c r="O19" i="60"/>
  <c r="L19" i="60"/>
  <c r="Q18" i="60"/>
  <c r="R18" i="60" s="1"/>
  <c r="S18" i="60" s="1"/>
  <c r="T18" i="60" s="1"/>
  <c r="V18" i="60" s="1"/>
  <c r="W18" i="60" s="1"/>
  <c r="X18" i="60" s="1"/>
  <c r="N18" i="60"/>
  <c r="O18" i="60" s="1"/>
  <c r="O11" i="60"/>
  <c r="O10" i="60"/>
  <c r="O9" i="60"/>
  <c r="O8" i="60"/>
  <c r="L6" i="60"/>
  <c r="AA32" i="59"/>
  <c r="AA31" i="59"/>
  <c r="AA30" i="59"/>
  <c r="AA29" i="59"/>
  <c r="AA28" i="59"/>
  <c r="AA27" i="59"/>
  <c r="AA26" i="59"/>
  <c r="R26" i="59"/>
  <c r="AA25" i="59"/>
  <c r="Y25" i="59"/>
  <c r="L25" i="59"/>
  <c r="AA24" i="59"/>
  <c r="AA23" i="59"/>
  <c r="AA22" i="59"/>
  <c r="O22" i="59"/>
  <c r="L22" i="59"/>
  <c r="F23" i="59" s="1"/>
  <c r="G24" i="59" s="1"/>
  <c r="H25" i="59" s="1"/>
  <c r="AA21" i="59"/>
  <c r="O21" i="59"/>
  <c r="L21" i="59"/>
  <c r="AA20" i="59"/>
  <c r="O20" i="59"/>
  <c r="L20" i="59"/>
  <c r="AA19" i="59"/>
  <c r="O19" i="59"/>
  <c r="L19" i="59"/>
  <c r="R18" i="59"/>
  <c r="S18" i="59" s="1"/>
  <c r="T18" i="59" s="1"/>
  <c r="V18" i="59" s="1"/>
  <c r="W18" i="59" s="1"/>
  <c r="X18" i="59" s="1"/>
  <c r="Q18" i="59"/>
  <c r="O18" i="59"/>
  <c r="N18" i="59"/>
  <c r="O11" i="59"/>
  <c r="O10" i="59"/>
  <c r="O9" i="59"/>
  <c r="O8" i="59"/>
  <c r="L6" i="59"/>
  <c r="AA32" i="58"/>
  <c r="AA31" i="58"/>
  <c r="AA30" i="58"/>
  <c r="AA29" i="58"/>
  <c r="AA28" i="58"/>
  <c r="AA27" i="58"/>
  <c r="AA26" i="58"/>
  <c r="R26" i="58"/>
  <c r="AA25" i="58"/>
  <c r="Y25" i="58"/>
  <c r="AA24" i="58"/>
  <c r="AA23" i="58"/>
  <c r="AA22" i="58"/>
  <c r="AA21" i="58"/>
  <c r="AA20" i="58"/>
  <c r="AA19" i="58"/>
  <c r="Q18" i="58"/>
  <c r="R18" i="58" s="1"/>
  <c r="S18" i="58" s="1"/>
  <c r="T18" i="58" s="1"/>
  <c r="V18" i="58" s="1"/>
  <c r="W18" i="58" s="1"/>
  <c r="X18" i="58" s="1"/>
  <c r="N18" i="58"/>
  <c r="O18" i="58" s="1"/>
  <c r="O11" i="58"/>
  <c r="O10" i="58"/>
  <c r="O9" i="58"/>
  <c r="O8" i="58"/>
  <c r="L6" i="58"/>
  <c r="U148" i="57"/>
  <c r="M148" i="57" s="1"/>
  <c r="N101" i="57"/>
  <c r="M101" i="57"/>
  <c r="F130" i="30" s="1"/>
  <c r="L101" i="57"/>
  <c r="K101" i="57"/>
  <c r="J101" i="57"/>
  <c r="I101" i="57"/>
  <c r="K100" i="57"/>
  <c r="N100" i="57" s="1"/>
  <c r="J129" i="30" s="1"/>
  <c r="J100" i="57"/>
  <c r="M100" i="57" s="1"/>
  <c r="I100" i="57"/>
  <c r="L100" i="57" s="1"/>
  <c r="E129" i="30" s="1"/>
  <c r="N99" i="57"/>
  <c r="K99" i="57"/>
  <c r="J99" i="57"/>
  <c r="M99" i="57" s="1"/>
  <c r="I99" i="57"/>
  <c r="L99" i="57" s="1"/>
  <c r="E128" i="30" s="1"/>
  <c r="N98" i="57"/>
  <c r="M98" i="57"/>
  <c r="L98" i="57"/>
  <c r="K98" i="57"/>
  <c r="J98" i="57"/>
  <c r="I98" i="57"/>
  <c r="M97" i="57"/>
  <c r="F126" i="30" s="1"/>
  <c r="L97" i="57"/>
  <c r="K97" i="57"/>
  <c r="N97" i="57" s="1"/>
  <c r="J97" i="57"/>
  <c r="I97" i="57"/>
  <c r="K96" i="57"/>
  <c r="N96" i="57" s="1"/>
  <c r="J123" i="30" s="1"/>
  <c r="J96" i="57"/>
  <c r="M96" i="57" s="1"/>
  <c r="F123" i="30" s="1"/>
  <c r="I96" i="57"/>
  <c r="L96" i="57" s="1"/>
  <c r="E123" i="30" s="1"/>
  <c r="E124" i="30" s="1"/>
  <c r="N95" i="57"/>
  <c r="L95" i="57"/>
  <c r="E120" i="30" s="1"/>
  <c r="K95" i="57"/>
  <c r="J95" i="57"/>
  <c r="M95" i="57" s="1"/>
  <c r="I95" i="57"/>
  <c r="N94" i="57"/>
  <c r="L94" i="57"/>
  <c r="K94" i="57"/>
  <c r="J94" i="57"/>
  <c r="M94" i="57" s="1"/>
  <c r="F117" i="30" s="1"/>
  <c r="I94" i="57"/>
  <c r="M93" i="57"/>
  <c r="L93" i="57"/>
  <c r="K93" i="57"/>
  <c r="N93" i="57" s="1"/>
  <c r="J116" i="30" s="1"/>
  <c r="J93" i="57"/>
  <c r="I93" i="57"/>
  <c r="N92" i="57"/>
  <c r="J115" i="30" s="1"/>
  <c r="K92" i="57"/>
  <c r="J92" i="57"/>
  <c r="M92" i="57" s="1"/>
  <c r="I92" i="57"/>
  <c r="L92" i="57" s="1"/>
  <c r="E115" i="30" s="1"/>
  <c r="N91" i="57"/>
  <c r="L91" i="57"/>
  <c r="K91" i="57"/>
  <c r="J91" i="57"/>
  <c r="M91" i="57" s="1"/>
  <c r="F114" i="30" s="1"/>
  <c r="I91" i="57"/>
  <c r="N90" i="57"/>
  <c r="L90" i="57"/>
  <c r="K90" i="57"/>
  <c r="J90" i="57"/>
  <c r="M90" i="57" s="1"/>
  <c r="F113" i="30" s="1"/>
  <c r="I90" i="57"/>
  <c r="N89" i="57"/>
  <c r="J112" i="30" s="1"/>
  <c r="M89" i="57"/>
  <c r="L89" i="57"/>
  <c r="K89" i="57"/>
  <c r="J89" i="57"/>
  <c r="I89" i="57"/>
  <c r="L88" i="57"/>
  <c r="K88" i="57"/>
  <c r="N88" i="57" s="1"/>
  <c r="J111" i="30" s="1"/>
  <c r="J88" i="57"/>
  <c r="M88" i="57" s="1"/>
  <c r="I88" i="57"/>
  <c r="N87" i="57"/>
  <c r="K87" i="57"/>
  <c r="J87" i="57"/>
  <c r="M87" i="57" s="1"/>
  <c r="I87" i="57"/>
  <c r="L87" i="57" s="1"/>
  <c r="E110" i="30" s="1"/>
  <c r="N86" i="57"/>
  <c r="L86" i="57"/>
  <c r="K86" i="57"/>
  <c r="J86" i="57"/>
  <c r="M86" i="57" s="1"/>
  <c r="F109" i="30" s="1"/>
  <c r="I86" i="57"/>
  <c r="N85" i="57"/>
  <c r="J108" i="30" s="1"/>
  <c r="M85" i="57"/>
  <c r="L85" i="57"/>
  <c r="K85" i="57"/>
  <c r="J85" i="57"/>
  <c r="I85" i="57"/>
  <c r="K84" i="57"/>
  <c r="N84" i="57" s="1"/>
  <c r="J107" i="30" s="1"/>
  <c r="J84" i="57"/>
  <c r="M84" i="57" s="1"/>
  <c r="I84" i="57"/>
  <c r="L84" i="57" s="1"/>
  <c r="E107" i="30" s="1"/>
  <c r="N83" i="57"/>
  <c r="K83" i="57"/>
  <c r="J83" i="57"/>
  <c r="M83" i="57" s="1"/>
  <c r="I83" i="57"/>
  <c r="L83" i="57" s="1"/>
  <c r="E106" i="30" s="1"/>
  <c r="N82" i="57"/>
  <c r="M82" i="57"/>
  <c r="L82" i="57"/>
  <c r="K82" i="57"/>
  <c r="J82" i="57"/>
  <c r="I82" i="57"/>
  <c r="M81" i="57"/>
  <c r="F104" i="30" s="1"/>
  <c r="L81" i="57"/>
  <c r="K81" i="57"/>
  <c r="N81" i="57" s="1"/>
  <c r="J81" i="57"/>
  <c r="I81" i="57"/>
  <c r="K80" i="57"/>
  <c r="N80" i="57" s="1"/>
  <c r="J103" i="30" s="1"/>
  <c r="J80" i="57"/>
  <c r="M80" i="57" s="1"/>
  <c r="F103" i="30" s="1"/>
  <c r="I80" i="57"/>
  <c r="L80" i="57" s="1"/>
  <c r="E103" i="30" s="1"/>
  <c r="N79" i="57"/>
  <c r="L79" i="57"/>
  <c r="K79" i="57"/>
  <c r="J79" i="57"/>
  <c r="M79" i="57" s="1"/>
  <c r="I79" i="57"/>
  <c r="N78" i="57"/>
  <c r="L78" i="57"/>
  <c r="K78" i="57"/>
  <c r="J78" i="57"/>
  <c r="M78" i="57" s="1"/>
  <c r="F99" i="30" s="1"/>
  <c r="I78" i="57"/>
  <c r="M77" i="57"/>
  <c r="L77" i="57"/>
  <c r="K77" i="57"/>
  <c r="N77" i="57" s="1"/>
  <c r="J98" i="30" s="1"/>
  <c r="J77" i="57"/>
  <c r="I77" i="57"/>
  <c r="N76" i="57"/>
  <c r="K76" i="57"/>
  <c r="J76" i="57"/>
  <c r="M76" i="57" s="1"/>
  <c r="I76" i="57"/>
  <c r="L76" i="57" s="1"/>
  <c r="E97" i="30" s="1"/>
  <c r="N75" i="57"/>
  <c r="L75" i="57"/>
  <c r="E96" i="30" s="1"/>
  <c r="K75" i="57"/>
  <c r="J75" i="57"/>
  <c r="M75" i="57" s="1"/>
  <c r="F96" i="30" s="1"/>
  <c r="I75" i="57"/>
  <c r="N74" i="57"/>
  <c r="L74" i="57"/>
  <c r="K74" i="57"/>
  <c r="J74" i="57"/>
  <c r="M74" i="57" s="1"/>
  <c r="F95" i="30" s="1"/>
  <c r="I74" i="57"/>
  <c r="N73" i="57"/>
  <c r="M73" i="57"/>
  <c r="F94" i="30" s="1"/>
  <c r="L73" i="57"/>
  <c r="K73" i="57"/>
  <c r="J73" i="57"/>
  <c r="I73" i="57"/>
  <c r="L72" i="57"/>
  <c r="E93" i="30" s="1"/>
  <c r="K72" i="57"/>
  <c r="N72" i="57" s="1"/>
  <c r="J93" i="30" s="1"/>
  <c r="J72" i="57"/>
  <c r="M72" i="57" s="1"/>
  <c r="I72" i="57"/>
  <c r="N71" i="57"/>
  <c r="K71" i="57"/>
  <c r="J71" i="57"/>
  <c r="M71" i="57" s="1"/>
  <c r="I71" i="57"/>
  <c r="L71" i="57" s="1"/>
  <c r="E92" i="30" s="1"/>
  <c r="N70" i="57"/>
  <c r="L70" i="57"/>
  <c r="K70" i="57"/>
  <c r="J70" i="57"/>
  <c r="M70" i="57" s="1"/>
  <c r="F91" i="30" s="1"/>
  <c r="I70" i="57"/>
  <c r="N69" i="57"/>
  <c r="J90" i="30" s="1"/>
  <c r="M69" i="57"/>
  <c r="F90" i="30" s="1"/>
  <c r="L69" i="57"/>
  <c r="K69" i="57"/>
  <c r="J69" i="57"/>
  <c r="I69" i="57"/>
  <c r="K68" i="57"/>
  <c r="N68" i="57" s="1"/>
  <c r="J68" i="57"/>
  <c r="M68" i="57" s="1"/>
  <c r="I68" i="57"/>
  <c r="L68" i="57" s="1"/>
  <c r="E89" i="30" s="1"/>
  <c r="N67" i="57"/>
  <c r="K67" i="57"/>
  <c r="J67" i="57"/>
  <c r="M67" i="57" s="1"/>
  <c r="I67" i="57"/>
  <c r="L67" i="57" s="1"/>
  <c r="E88" i="30" s="1"/>
  <c r="N66" i="57"/>
  <c r="M66" i="57"/>
  <c r="L66" i="57"/>
  <c r="K66" i="57"/>
  <c r="J66" i="57"/>
  <c r="I66" i="57"/>
  <c r="M65" i="57"/>
  <c r="F86" i="30" s="1"/>
  <c r="L65" i="57"/>
  <c r="K65" i="57"/>
  <c r="N65" i="57" s="1"/>
  <c r="J65" i="57"/>
  <c r="I65" i="57"/>
  <c r="K64" i="57"/>
  <c r="N64" i="57" s="1"/>
  <c r="J85" i="30" s="1"/>
  <c r="J64" i="57"/>
  <c r="M64" i="57" s="1"/>
  <c r="F85" i="30" s="1"/>
  <c r="I64" i="57"/>
  <c r="L64" i="57" s="1"/>
  <c r="E85" i="30" s="1"/>
  <c r="N63" i="57"/>
  <c r="L63" i="57"/>
  <c r="E84" i="30" s="1"/>
  <c r="K63" i="57"/>
  <c r="J63" i="57"/>
  <c r="M63" i="57" s="1"/>
  <c r="F84" i="30" s="1"/>
  <c r="I63" i="57"/>
  <c r="N62" i="57"/>
  <c r="L62" i="57"/>
  <c r="K62" i="57"/>
  <c r="J62" i="57"/>
  <c r="M62" i="57" s="1"/>
  <c r="F83" i="30" s="1"/>
  <c r="I62" i="57"/>
  <c r="M61" i="57"/>
  <c r="L61" i="57"/>
  <c r="K61" i="57"/>
  <c r="N61" i="57" s="1"/>
  <c r="J82" i="30" s="1"/>
  <c r="J61" i="57"/>
  <c r="I61" i="57"/>
  <c r="N60" i="57"/>
  <c r="J81" i="30" s="1"/>
  <c r="K60" i="57"/>
  <c r="J60" i="57"/>
  <c r="M60" i="57" s="1"/>
  <c r="I60" i="57"/>
  <c r="L60" i="57" s="1"/>
  <c r="N59" i="57"/>
  <c r="L59" i="57"/>
  <c r="E80" i="30" s="1"/>
  <c r="K59" i="57"/>
  <c r="J59" i="57"/>
  <c r="M59" i="57" s="1"/>
  <c r="F80" i="30" s="1"/>
  <c r="I59" i="57"/>
  <c r="N58" i="57"/>
  <c r="L58" i="57"/>
  <c r="K58" i="57"/>
  <c r="J58" i="57"/>
  <c r="M58" i="57" s="1"/>
  <c r="F79" i="30" s="1"/>
  <c r="I58" i="57"/>
  <c r="N57" i="57"/>
  <c r="M57" i="57"/>
  <c r="L57" i="57"/>
  <c r="K57" i="57"/>
  <c r="J57" i="57"/>
  <c r="I57" i="57"/>
  <c r="L56" i="57"/>
  <c r="E77" i="30" s="1"/>
  <c r="K56" i="57"/>
  <c r="N56" i="57" s="1"/>
  <c r="J77" i="30" s="1"/>
  <c r="J56" i="57"/>
  <c r="M56" i="57" s="1"/>
  <c r="I56" i="57"/>
  <c r="N55" i="57"/>
  <c r="K55" i="57"/>
  <c r="J55" i="57"/>
  <c r="M55" i="57" s="1"/>
  <c r="F76" i="30" s="1"/>
  <c r="I55" i="57"/>
  <c r="L55" i="57" s="1"/>
  <c r="E76" i="30" s="1"/>
  <c r="N54" i="57"/>
  <c r="L54" i="57"/>
  <c r="K54" i="57"/>
  <c r="J54" i="57"/>
  <c r="M54" i="57" s="1"/>
  <c r="I54" i="57"/>
  <c r="N53" i="57"/>
  <c r="J74" i="30" s="1"/>
  <c r="M53" i="57"/>
  <c r="F74" i="30" s="1"/>
  <c r="L53" i="57"/>
  <c r="K53" i="57"/>
  <c r="J53" i="57"/>
  <c r="I53" i="57"/>
  <c r="K52" i="57"/>
  <c r="N52" i="57" s="1"/>
  <c r="J73" i="30" s="1"/>
  <c r="J52" i="57"/>
  <c r="M52" i="57" s="1"/>
  <c r="F73" i="30" s="1"/>
  <c r="I52" i="57"/>
  <c r="L52" i="57" s="1"/>
  <c r="E73" i="30" s="1"/>
  <c r="N51" i="57"/>
  <c r="K51" i="57"/>
  <c r="J51" i="57"/>
  <c r="M51" i="57" s="1"/>
  <c r="I51" i="57"/>
  <c r="L51" i="57" s="1"/>
  <c r="N50" i="57"/>
  <c r="M50" i="57"/>
  <c r="L50" i="57"/>
  <c r="K50" i="57"/>
  <c r="J50" i="57"/>
  <c r="I50" i="57"/>
  <c r="M49" i="57"/>
  <c r="F68" i="30" s="1"/>
  <c r="L49" i="57"/>
  <c r="K49" i="57"/>
  <c r="N49" i="57" s="1"/>
  <c r="J68" i="30" s="1"/>
  <c r="J49" i="57"/>
  <c r="I49" i="57"/>
  <c r="K48" i="57"/>
  <c r="N48" i="57" s="1"/>
  <c r="J67" i="30" s="1"/>
  <c r="J48" i="57"/>
  <c r="M48" i="57" s="1"/>
  <c r="I48" i="57"/>
  <c r="L48" i="57" s="1"/>
  <c r="N47" i="57"/>
  <c r="L47" i="57"/>
  <c r="E66" i="30" s="1"/>
  <c r="K66" i="30" s="1"/>
  <c r="K47" i="57"/>
  <c r="J47" i="57"/>
  <c r="M47" i="57" s="1"/>
  <c r="I47" i="57"/>
  <c r="N46" i="57"/>
  <c r="L46" i="57"/>
  <c r="K46" i="57"/>
  <c r="J46" i="57"/>
  <c r="M46" i="57" s="1"/>
  <c r="I46" i="57"/>
  <c r="M45" i="57"/>
  <c r="L45" i="57"/>
  <c r="K45" i="57"/>
  <c r="N45" i="57" s="1"/>
  <c r="J45" i="57"/>
  <c r="I45" i="57"/>
  <c r="N44" i="57"/>
  <c r="J63" i="30" s="1"/>
  <c r="K44" i="57"/>
  <c r="J44" i="57"/>
  <c r="M44" i="57" s="1"/>
  <c r="I44" i="57"/>
  <c r="L44" i="57" s="1"/>
  <c r="N43" i="57"/>
  <c r="L43" i="57"/>
  <c r="E62" i="30" s="1"/>
  <c r="K62" i="30" s="1"/>
  <c r="K43" i="57"/>
  <c r="J43" i="57"/>
  <c r="M43" i="57" s="1"/>
  <c r="F62" i="30" s="1"/>
  <c r="I43" i="57"/>
  <c r="N42" i="57"/>
  <c r="L42" i="57"/>
  <c r="K42" i="57"/>
  <c r="J42" i="57"/>
  <c r="M42" i="57" s="1"/>
  <c r="F61" i="30" s="1"/>
  <c r="I42" i="57"/>
  <c r="N41" i="57"/>
  <c r="M41" i="57"/>
  <c r="L41" i="57"/>
  <c r="K41" i="57"/>
  <c r="J41" i="57"/>
  <c r="I41" i="57"/>
  <c r="L40" i="57"/>
  <c r="K40" i="57"/>
  <c r="N40" i="57" s="1"/>
  <c r="J59" i="30" s="1"/>
  <c r="J40" i="57"/>
  <c r="M40" i="57" s="1"/>
  <c r="I40" i="57"/>
  <c r="N39" i="57"/>
  <c r="K39" i="57"/>
  <c r="J39" i="57"/>
  <c r="M39" i="57" s="1"/>
  <c r="I39" i="57"/>
  <c r="L39" i="57" s="1"/>
  <c r="E58" i="30" s="1"/>
  <c r="N38" i="57"/>
  <c r="L38" i="57"/>
  <c r="K38" i="57"/>
  <c r="J38" i="57"/>
  <c r="M38" i="57" s="1"/>
  <c r="F57" i="30" s="1"/>
  <c r="I38" i="57"/>
  <c r="N37" i="57"/>
  <c r="M37" i="57"/>
  <c r="L37" i="57"/>
  <c r="K37" i="57"/>
  <c r="J37" i="57"/>
  <c r="I37" i="57"/>
  <c r="K36" i="57"/>
  <c r="N36" i="57" s="1"/>
  <c r="J55" i="30" s="1"/>
  <c r="J36" i="57"/>
  <c r="M36" i="57" s="1"/>
  <c r="F55" i="30" s="1"/>
  <c r="I36" i="57"/>
  <c r="L36" i="57" s="1"/>
  <c r="N35" i="57"/>
  <c r="K35" i="57"/>
  <c r="J35" i="57"/>
  <c r="M35" i="57" s="1"/>
  <c r="I35" i="57"/>
  <c r="L35" i="57" s="1"/>
  <c r="E54" i="30" s="1"/>
  <c r="N34" i="57"/>
  <c r="M34" i="57"/>
  <c r="F53" i="30" s="1"/>
  <c r="L34" i="57"/>
  <c r="K34" i="57"/>
  <c r="J34" i="57"/>
  <c r="I34" i="57"/>
  <c r="M33" i="57"/>
  <c r="L33" i="57"/>
  <c r="K33" i="57"/>
  <c r="N33" i="57" s="1"/>
  <c r="J52" i="30" s="1"/>
  <c r="J33" i="57"/>
  <c r="I33" i="57"/>
  <c r="K32" i="57"/>
  <c r="N32" i="57" s="1"/>
  <c r="J51" i="30" s="1"/>
  <c r="J32" i="57"/>
  <c r="M32" i="57" s="1"/>
  <c r="F51" i="30" s="1"/>
  <c r="I32" i="57"/>
  <c r="L32" i="57" s="1"/>
  <c r="N31" i="57"/>
  <c r="L31" i="57"/>
  <c r="E50" i="30" s="1"/>
  <c r="K31" i="57"/>
  <c r="J31" i="57"/>
  <c r="M31" i="57" s="1"/>
  <c r="I31" i="57"/>
  <c r="N30" i="57"/>
  <c r="L30" i="57"/>
  <c r="K30" i="57"/>
  <c r="J30" i="57"/>
  <c r="M30" i="57" s="1"/>
  <c r="F49" i="30" s="1"/>
  <c r="I30" i="57"/>
  <c r="M29" i="57"/>
  <c r="L29" i="57"/>
  <c r="K29" i="57"/>
  <c r="N29" i="57" s="1"/>
  <c r="J29" i="57"/>
  <c r="I29" i="57"/>
  <c r="N28" i="57"/>
  <c r="J47" i="30" s="1"/>
  <c r="K28" i="57"/>
  <c r="J28" i="57"/>
  <c r="M28" i="57" s="1"/>
  <c r="I28" i="57"/>
  <c r="L28" i="57" s="1"/>
  <c r="E47" i="30" s="1"/>
  <c r="K47" i="30" s="1"/>
  <c r="N27" i="57"/>
  <c r="L27" i="57"/>
  <c r="E46" i="30" s="1"/>
  <c r="K27" i="57"/>
  <c r="J27" i="57"/>
  <c r="M27" i="57" s="1"/>
  <c r="I27" i="57"/>
  <c r="N26" i="57"/>
  <c r="L26" i="57"/>
  <c r="K26" i="57"/>
  <c r="J26" i="57"/>
  <c r="M26" i="57" s="1"/>
  <c r="F45" i="30" s="1"/>
  <c r="I26" i="57"/>
  <c r="N25" i="57"/>
  <c r="M25" i="57"/>
  <c r="L25" i="57"/>
  <c r="K25" i="57"/>
  <c r="J25" i="57"/>
  <c r="I25" i="57"/>
  <c r="L24" i="57"/>
  <c r="K24" i="57"/>
  <c r="N24" i="57" s="1"/>
  <c r="J43" i="30" s="1"/>
  <c r="J24" i="57"/>
  <c r="M24" i="57" s="1"/>
  <c r="I24" i="57"/>
  <c r="N23" i="57"/>
  <c r="K23" i="57"/>
  <c r="J23" i="57"/>
  <c r="M23" i="57" s="1"/>
  <c r="I23" i="57"/>
  <c r="L23" i="57" s="1"/>
  <c r="E42" i="30" s="1"/>
  <c r="N22" i="57"/>
  <c r="L22" i="57"/>
  <c r="K22" i="57"/>
  <c r="J22" i="57"/>
  <c r="M22" i="57" s="1"/>
  <c r="F41" i="30" s="1"/>
  <c r="I22" i="57"/>
  <c r="N21" i="57"/>
  <c r="M21" i="57"/>
  <c r="F33" i="30" s="1"/>
  <c r="L21" i="57"/>
  <c r="K21" i="57"/>
  <c r="J21" i="57"/>
  <c r="I21" i="57"/>
  <c r="K20" i="57"/>
  <c r="N20" i="57" s="1"/>
  <c r="J20" i="57"/>
  <c r="M20" i="57" s="1"/>
  <c r="I20" i="57"/>
  <c r="L20" i="57" s="1"/>
  <c r="N19" i="57"/>
  <c r="K19" i="57"/>
  <c r="J19" i="57"/>
  <c r="M19" i="57" s="1"/>
  <c r="I19" i="57"/>
  <c r="L19" i="57" s="1"/>
  <c r="E31" i="30" s="1"/>
  <c r="N18" i="57"/>
  <c r="M18" i="57"/>
  <c r="L18" i="57"/>
  <c r="K18" i="57"/>
  <c r="J18" i="57"/>
  <c r="I18" i="57"/>
  <c r="AA16" i="57"/>
  <c r="N16" i="57"/>
  <c r="I21" i="40" s="1"/>
  <c r="U15" i="57"/>
  <c r="M15" i="57" s="1"/>
  <c r="U14" i="57"/>
  <c r="M14" i="57" s="1"/>
  <c r="E18" i="40" s="1"/>
  <c r="N14" i="57"/>
  <c r="AA13" i="57"/>
  <c r="N13" i="57" s="1"/>
  <c r="M13" i="57"/>
  <c r="M12" i="57"/>
  <c r="N11" i="57"/>
  <c r="M11" i="57"/>
  <c r="N3" i="57"/>
  <c r="C34" i="56"/>
  <c r="E30" i="56"/>
  <c r="C30" i="56" s="1"/>
  <c r="D14" i="42" s="1"/>
  <c r="E29" i="56"/>
  <c r="C29" i="56"/>
  <c r="D5" i="44" s="1"/>
  <c r="C8" i="56"/>
  <c r="C7" i="56"/>
  <c r="E6" i="56"/>
  <c r="C6" i="56" s="1"/>
  <c r="E5" i="56"/>
  <c r="C5" i="56"/>
  <c r="C2" i="56"/>
  <c r="I53" i="55"/>
  <c r="H53" i="55"/>
  <c r="G53" i="55"/>
  <c r="J52" i="55"/>
  <c r="J45" i="55" s="1"/>
  <c r="E5" i="2" s="1"/>
  <c r="D4" i="4" s="1"/>
  <c r="I52" i="55"/>
  <c r="I45" i="55" s="1"/>
  <c r="H52" i="55"/>
  <c r="G52" i="55"/>
  <c r="J51" i="55"/>
  <c r="I51" i="55"/>
  <c r="H51" i="55"/>
  <c r="G51" i="55"/>
  <c r="J50" i="55"/>
  <c r="I50" i="55"/>
  <c r="H50" i="55"/>
  <c r="G50" i="55"/>
  <c r="J49" i="55"/>
  <c r="I49" i="55"/>
  <c r="H49" i="55"/>
  <c r="G49" i="55"/>
  <c r="I48" i="55"/>
  <c r="H48" i="55"/>
  <c r="G48" i="55"/>
  <c r="J47" i="55"/>
  <c r="I47" i="55"/>
  <c r="H47" i="55"/>
  <c r="G47" i="55"/>
  <c r="J46" i="55"/>
  <c r="I46" i="55"/>
  <c r="K45" i="55"/>
  <c r="G36" i="55"/>
  <c r="E4" i="56" s="1"/>
  <c r="C4" i="56" s="1"/>
  <c r="F36" i="55"/>
  <c r="AA11" i="57" s="1"/>
  <c r="F32" i="55"/>
  <c r="E32" i="55"/>
  <c r="F29" i="55"/>
  <c r="E29" i="55"/>
  <c r="L5" i="55"/>
  <c r="L4" i="55"/>
  <c r="L3" i="55"/>
  <c r="L6" i="55" s="1"/>
  <c r="V194" i="54"/>
  <c r="N179" i="54"/>
  <c r="N174" i="54"/>
  <c r="N168" i="54"/>
  <c r="N157" i="54"/>
  <c r="N152" i="54"/>
  <c r="N146" i="54"/>
  <c r="R131" i="54"/>
  <c r="Q131" i="54"/>
  <c r="Q122" i="54"/>
  <c r="H121" i="54"/>
  <c r="H120" i="54"/>
  <c r="H119" i="54"/>
  <c r="Q113" i="54"/>
  <c r="Q110" i="54"/>
  <c r="H109" i="54"/>
  <c r="H108" i="54"/>
  <c r="H107" i="54"/>
  <c r="F101" i="54"/>
  <c r="AD95" i="54"/>
  <c r="AD89" i="54"/>
  <c r="AD84" i="54"/>
  <c r="AD76" i="54"/>
  <c r="F73" i="54"/>
  <c r="P64" i="54"/>
  <c r="I29" i="54"/>
  <c r="I23" i="54"/>
  <c r="O19" i="54"/>
  <c r="M19" i="54" a="1"/>
  <c r="M19" i="54"/>
  <c r="F19" i="54"/>
  <c r="O14" i="54"/>
  <c r="M14" i="54" a="1"/>
  <c r="M14" i="54"/>
  <c r="F14" i="54"/>
  <c r="E14" i="54"/>
  <c r="E13" i="54"/>
  <c r="G13" i="54" s="1"/>
  <c r="S11" i="51" a="1"/>
  <c r="S11" i="51" s="1"/>
  <c r="P11" i="51"/>
  <c r="G11" i="51"/>
  <c r="O9" i="51"/>
  <c r="S2" i="51" a="1"/>
  <c r="S2" i="51" s="1"/>
  <c r="P2" i="51"/>
  <c r="G2" i="51"/>
  <c r="R10" i="50"/>
  <c r="P10" i="50" a="1"/>
  <c r="P10" i="50" s="1"/>
  <c r="M10" i="50"/>
  <c r="F10" i="50"/>
  <c r="K8" i="50"/>
  <c r="J8" i="50"/>
  <c r="G8" i="50"/>
  <c r="E5" i="50"/>
  <c r="R2" i="50"/>
  <c r="P2" i="50" a="1"/>
  <c r="P2" i="50" s="1"/>
  <c r="M2" i="50"/>
  <c r="P9" i="49"/>
  <c r="N9" i="49" a="1"/>
  <c r="N9" i="49" s="1"/>
  <c r="K9" i="49"/>
  <c r="E5" i="49"/>
  <c r="P2" i="49"/>
  <c r="N2" i="49" a="1"/>
  <c r="N2" i="49" s="1"/>
  <c r="K2" i="49"/>
  <c r="F12" i="48"/>
  <c r="F2" i="50" s="1"/>
  <c r="D6" i="48"/>
  <c r="D5" i="48"/>
  <c r="I14" i="45"/>
  <c r="G14" i="45"/>
  <c r="G11" i="45"/>
  <c r="G10" i="45"/>
  <c r="G9" i="45"/>
  <c r="D6" i="45"/>
  <c r="E13" i="44"/>
  <c r="H12" i="44"/>
  <c r="E12" i="44"/>
  <c r="E11" i="44"/>
  <c r="E10" i="44"/>
  <c r="D6" i="44"/>
  <c r="G297" i="43"/>
  <c r="M258" i="43"/>
  <c r="F257" i="43"/>
  <c r="M200" i="43"/>
  <c r="F199" i="43"/>
  <c r="M142" i="43"/>
  <c r="F141" i="43"/>
  <c r="G108" i="43"/>
  <c r="G96" i="43"/>
  <c r="M84" i="43"/>
  <c r="F81" i="43"/>
  <c r="F51" i="43"/>
  <c r="M24" i="43"/>
  <c r="F23" i="43"/>
  <c r="G17" i="43"/>
  <c r="F17" i="43"/>
  <c r="G16" i="43"/>
  <c r="F16" i="43"/>
  <c r="E14" i="43"/>
  <c r="N7" i="43"/>
  <c r="N4" i="43"/>
  <c r="N1" i="43"/>
  <c r="E45" i="42"/>
  <c r="E41" i="42"/>
  <c r="E38" i="42"/>
  <c r="E34" i="42"/>
  <c r="E33" i="42"/>
  <c r="E28" i="42"/>
  <c r="E25" i="42"/>
  <c r="E24" i="42"/>
  <c r="D15" i="42"/>
  <c r="G17" i="41"/>
  <c r="E16" i="41"/>
  <c r="G14" i="41"/>
  <c r="E13" i="41"/>
  <c r="E12" i="41"/>
  <c r="D6" i="41"/>
  <c r="D5" i="41"/>
  <c r="F21" i="40"/>
  <c r="H19" i="40"/>
  <c r="G19" i="40"/>
  <c r="F19" i="40"/>
  <c r="E19" i="40"/>
  <c r="I18" i="40"/>
  <c r="I17" i="40"/>
  <c r="E17" i="40"/>
  <c r="E16" i="40"/>
  <c r="I15" i="40"/>
  <c r="E15" i="40"/>
  <c r="H14" i="40"/>
  <c r="G14" i="40"/>
  <c r="G11" i="40"/>
  <c r="G10" i="40"/>
  <c r="G9" i="40"/>
  <c r="D6" i="40"/>
  <c r="F2" i="40"/>
  <c r="F6" i="39"/>
  <c r="H57" i="38"/>
  <c r="H56" i="38"/>
  <c r="H55" i="38"/>
  <c r="I54" i="38"/>
  <c r="H54" i="38" s="1"/>
  <c r="H53" i="38"/>
  <c r="H52" i="38"/>
  <c r="H51" i="38"/>
  <c r="H50" i="38"/>
  <c r="I49" i="38"/>
  <c r="H49" i="38" s="1"/>
  <c r="H47" i="38"/>
  <c r="H46" i="38"/>
  <c r="H45" i="38"/>
  <c r="I44" i="38"/>
  <c r="H44" i="38"/>
  <c r="H43" i="38"/>
  <c r="H42" i="38"/>
  <c r="H41" i="38"/>
  <c r="H40" i="38"/>
  <c r="I39" i="38"/>
  <c r="H39" i="38"/>
  <c r="I38" i="38"/>
  <c r="H38" i="38"/>
  <c r="H35" i="38"/>
  <c r="H34" i="38"/>
  <c r="H33" i="38"/>
  <c r="I32" i="38"/>
  <c r="H32" i="38"/>
  <c r="H31" i="38"/>
  <c r="H30" i="38"/>
  <c r="H29" i="38"/>
  <c r="I28" i="38"/>
  <c r="H28" i="38" s="1"/>
  <c r="H27" i="38"/>
  <c r="H26" i="38"/>
  <c r="H25" i="38"/>
  <c r="H24" i="38"/>
  <c r="H23" i="38"/>
  <c r="H22" i="38"/>
  <c r="H21" i="38"/>
  <c r="H20" i="38"/>
  <c r="H19" i="38"/>
  <c r="H18" i="38"/>
  <c r="H17" i="38"/>
  <c r="H16" i="38"/>
  <c r="I15" i="38"/>
  <c r="H11" i="38"/>
  <c r="F6" i="38"/>
  <c r="F6" i="37"/>
  <c r="H15" i="36"/>
  <c r="F6" i="36"/>
  <c r="G28" i="35"/>
  <c r="G27" i="35"/>
  <c r="G26" i="35"/>
  <c r="D23" i="35"/>
  <c r="D22" i="35"/>
  <c r="D14" i="35"/>
  <c r="D13" i="35"/>
  <c r="D11" i="35"/>
  <c r="D10" i="35"/>
  <c r="D9" i="35"/>
  <c r="D7" i="35"/>
  <c r="D6" i="35"/>
  <c r="D4" i="35"/>
  <c r="D3" i="35"/>
  <c r="J12" i="34"/>
  <c r="I12" i="34"/>
  <c r="H12" i="34"/>
  <c r="G12" i="34"/>
  <c r="G9" i="34"/>
  <c r="G8" i="34"/>
  <c r="G7" i="34"/>
  <c r="D4" i="34"/>
  <c r="D3" i="34"/>
  <c r="E28" i="33"/>
  <c r="I27" i="33"/>
  <c r="H27" i="33"/>
  <c r="H16" i="33" s="1"/>
  <c r="I16" i="33"/>
  <c r="H12" i="33"/>
  <c r="H11" i="33"/>
  <c r="H10" i="33"/>
  <c r="E7" i="33"/>
  <c r="E33" i="32"/>
  <c r="I32" i="32"/>
  <c r="I16" i="32" s="1"/>
  <c r="H32" i="32"/>
  <c r="H16" i="32"/>
  <c r="H12" i="32"/>
  <c r="H11" i="32"/>
  <c r="H10" i="32"/>
  <c r="E7" i="32"/>
  <c r="V20" i="31"/>
  <c r="Q20" i="31"/>
  <c r="V17" i="31"/>
  <c r="Q17" i="31"/>
  <c r="E6" i="31"/>
  <c r="E5" i="31"/>
  <c r="J130" i="30"/>
  <c r="E130" i="30"/>
  <c r="F129" i="30"/>
  <c r="J128" i="30"/>
  <c r="F128" i="30"/>
  <c r="J127" i="30"/>
  <c r="F127" i="30"/>
  <c r="E127" i="30"/>
  <c r="J126" i="30"/>
  <c r="E126" i="30"/>
  <c r="E121" i="30"/>
  <c r="J120" i="30"/>
  <c r="F120" i="30"/>
  <c r="J117" i="30"/>
  <c r="E117" i="30"/>
  <c r="E118" i="30" s="1"/>
  <c r="F116" i="30"/>
  <c r="E116" i="30"/>
  <c r="F115" i="30"/>
  <c r="J114" i="30"/>
  <c r="E114" i="30"/>
  <c r="J113" i="30"/>
  <c r="E113" i="30"/>
  <c r="F112" i="30"/>
  <c r="E112" i="30"/>
  <c r="F111" i="30"/>
  <c r="E111" i="30"/>
  <c r="J110" i="30"/>
  <c r="F110" i="30"/>
  <c r="J109" i="30"/>
  <c r="E109" i="30"/>
  <c r="F108" i="30"/>
  <c r="E108" i="30"/>
  <c r="F107" i="30"/>
  <c r="J106" i="30"/>
  <c r="F106" i="30"/>
  <c r="J105" i="30"/>
  <c r="F105" i="30"/>
  <c r="E105" i="30"/>
  <c r="J104" i="30"/>
  <c r="E104" i="30"/>
  <c r="J102" i="30"/>
  <c r="F102" i="30"/>
  <c r="E102" i="30"/>
  <c r="J99" i="30"/>
  <c r="E99" i="30"/>
  <c r="E100" i="30" s="1"/>
  <c r="F98" i="30"/>
  <c r="E98" i="30"/>
  <c r="J97" i="30"/>
  <c r="F97" i="30"/>
  <c r="J96" i="30"/>
  <c r="J95" i="30"/>
  <c r="E95" i="30"/>
  <c r="J94" i="30"/>
  <c r="E94" i="30"/>
  <c r="F93" i="30"/>
  <c r="J92" i="30"/>
  <c r="F92" i="30"/>
  <c r="J91" i="30"/>
  <c r="E91" i="30"/>
  <c r="E90" i="30"/>
  <c r="J89" i="30"/>
  <c r="F89" i="30"/>
  <c r="J88" i="30"/>
  <c r="F88" i="30"/>
  <c r="J87" i="30"/>
  <c r="I87" i="30"/>
  <c r="H87" i="30"/>
  <c r="F87" i="30"/>
  <c r="E87" i="30"/>
  <c r="J86" i="30"/>
  <c r="E86" i="30"/>
  <c r="J84" i="30"/>
  <c r="J83" i="30"/>
  <c r="E83" i="30"/>
  <c r="F82" i="30"/>
  <c r="E82" i="30"/>
  <c r="F81" i="30"/>
  <c r="E81" i="30"/>
  <c r="J80" i="30"/>
  <c r="J79" i="30"/>
  <c r="E79" i="30"/>
  <c r="J78" i="30"/>
  <c r="F78" i="30"/>
  <c r="E78" i="30"/>
  <c r="F77" i="30"/>
  <c r="J76" i="30"/>
  <c r="J75" i="30"/>
  <c r="F75" i="30"/>
  <c r="E75" i="30"/>
  <c r="E74" i="30"/>
  <c r="J72" i="30"/>
  <c r="F72" i="30"/>
  <c r="E72" i="30"/>
  <c r="J69" i="30"/>
  <c r="I69" i="30"/>
  <c r="H69" i="30"/>
  <c r="F69" i="30"/>
  <c r="E69" i="30"/>
  <c r="L68" i="30"/>
  <c r="E68" i="30"/>
  <c r="K68" i="30" s="1"/>
  <c r="F67" i="30"/>
  <c r="E67" i="30"/>
  <c r="K67" i="30" s="1"/>
  <c r="L66" i="30"/>
  <c r="J66" i="30"/>
  <c r="F66" i="30"/>
  <c r="J65" i="30"/>
  <c r="F65" i="30"/>
  <c r="E65" i="30"/>
  <c r="K65" i="30" s="1"/>
  <c r="J64" i="30"/>
  <c r="F64" i="30"/>
  <c r="E64" i="30"/>
  <c r="K64" i="30" s="1"/>
  <c r="F63" i="30"/>
  <c r="E63" i="30"/>
  <c r="K63" i="30" s="1"/>
  <c r="J62" i="30"/>
  <c r="J61" i="30"/>
  <c r="E61" i="30"/>
  <c r="K61" i="30" s="1"/>
  <c r="K60" i="30"/>
  <c r="J60" i="30"/>
  <c r="F60" i="30"/>
  <c r="E60" i="30"/>
  <c r="F59" i="30"/>
  <c r="E59" i="30"/>
  <c r="K59" i="30" s="1"/>
  <c r="K58" i="30"/>
  <c r="J58" i="30"/>
  <c r="F58" i="30"/>
  <c r="J57" i="30"/>
  <c r="E57" i="30"/>
  <c r="K57" i="30" s="1"/>
  <c r="K56" i="30"/>
  <c r="J56" i="30"/>
  <c r="F56" i="30"/>
  <c r="E56" i="30"/>
  <c r="E55" i="30"/>
  <c r="K55" i="30" s="1"/>
  <c r="K54" i="30"/>
  <c r="J54" i="30"/>
  <c r="F54" i="30"/>
  <c r="J53" i="30"/>
  <c r="E53" i="30"/>
  <c r="K53" i="30" s="1"/>
  <c r="K52" i="30"/>
  <c r="F52" i="30"/>
  <c r="E52" i="30"/>
  <c r="E51" i="30"/>
  <c r="K51" i="30" s="1"/>
  <c r="K50" i="30"/>
  <c r="J50" i="30"/>
  <c r="F50" i="30"/>
  <c r="J49" i="30"/>
  <c r="E49" i="30"/>
  <c r="K49" i="30" s="1"/>
  <c r="K48" i="30"/>
  <c r="J48" i="30"/>
  <c r="F48" i="30"/>
  <c r="E48" i="30"/>
  <c r="F47" i="30"/>
  <c r="K46" i="30"/>
  <c r="J46" i="30"/>
  <c r="F46" i="30"/>
  <c r="J45" i="30"/>
  <c r="E45" i="30"/>
  <c r="K45" i="30" s="1"/>
  <c r="K44" i="30"/>
  <c r="J44" i="30"/>
  <c r="F44" i="30"/>
  <c r="E44" i="30"/>
  <c r="F43" i="30"/>
  <c r="E43" i="30"/>
  <c r="K43" i="30" s="1"/>
  <c r="K42" i="30"/>
  <c r="J42" i="30"/>
  <c r="F42" i="30"/>
  <c r="J41" i="30"/>
  <c r="E41" i="30"/>
  <c r="K41" i="30" s="1"/>
  <c r="K40" i="30"/>
  <c r="K39" i="30"/>
  <c r="K38" i="30"/>
  <c r="K37" i="30"/>
  <c r="K36" i="30"/>
  <c r="K35" i="30"/>
  <c r="K34" i="30"/>
  <c r="J33" i="30"/>
  <c r="I33" i="30"/>
  <c r="H33" i="30"/>
  <c r="E33" i="30"/>
  <c r="J32" i="30"/>
  <c r="F32" i="30"/>
  <c r="E32" i="30"/>
  <c r="K32" i="30" s="1"/>
  <c r="J31" i="30"/>
  <c r="F31" i="30"/>
  <c r="J30" i="30"/>
  <c r="F30" i="30"/>
  <c r="E30" i="30"/>
  <c r="H27" i="30"/>
  <c r="H26" i="30"/>
  <c r="H25" i="30"/>
  <c r="E22" i="30"/>
  <c r="E21" i="30"/>
  <c r="E7" i="30"/>
  <c r="E6" i="30"/>
  <c r="E5" i="30"/>
  <c r="E4" i="30"/>
  <c r="I3" i="30"/>
  <c r="H3" i="30"/>
  <c r="E2" i="30"/>
  <c r="BF63" i="29"/>
  <c r="BF62" i="29"/>
  <c r="BF61" i="29"/>
  <c r="BF60" i="29"/>
  <c r="BF59" i="29"/>
  <c r="BF58" i="29"/>
  <c r="BF57" i="29"/>
  <c r="BF56" i="29"/>
  <c r="BB56" i="29"/>
  <c r="AW56" i="29"/>
  <c r="AU56" i="29"/>
  <c r="Y56" i="29"/>
  <c r="W56" i="29"/>
  <c r="BF52" i="29"/>
  <c r="BF51" i="29"/>
  <c r="J51" i="29"/>
  <c r="BF50" i="29"/>
  <c r="I50" i="29"/>
  <c r="BF49" i="29"/>
  <c r="BF48" i="29"/>
  <c r="BF47" i="29"/>
  <c r="AD47" i="29"/>
  <c r="BF46" i="29"/>
  <c r="BC46" i="29"/>
  <c r="AY45" i="29"/>
  <c r="BA45" i="29" s="1"/>
  <c r="BB45" i="29" s="1"/>
  <c r="BC45" i="29" s="1"/>
  <c r="AW45" i="29"/>
  <c r="AX45" i="29" s="1"/>
  <c r="V45" i="29"/>
  <c r="W45" i="29" s="1"/>
  <c r="X45" i="29" s="1"/>
  <c r="Y45" i="29" s="1"/>
  <c r="Z45" i="29" s="1"/>
  <c r="AA45" i="29" s="1"/>
  <c r="AC45" i="29" s="1"/>
  <c r="AD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AC41" i="28"/>
  <c r="S41" i="28"/>
  <c r="Z40" i="28"/>
  <c r="AB40" i="28" s="1"/>
  <c r="AC40" i="28" s="1"/>
  <c r="AD40" i="28" s="1"/>
  <c r="AE40" i="28" s="1"/>
  <c r="AF40" i="28" s="1"/>
  <c r="AG40" i="28" s="1"/>
  <c r="AI40" i="28" s="1"/>
  <c r="AJ40" i="28" s="1"/>
  <c r="AK40" i="28" s="1"/>
  <c r="U40" i="28"/>
  <c r="V40" i="28" s="1"/>
  <c r="W40" i="28" s="1"/>
  <c r="X40" i="28" s="1"/>
  <c r="Y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K7" i="28"/>
  <c r="S7" i="28" s="1"/>
  <c r="AN6" i="28"/>
  <c r="AN5" i="28"/>
  <c r="S5" i="28"/>
  <c r="I5" i="28"/>
  <c r="J6" i="28" s="1"/>
  <c r="S6" i="28" s="1"/>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AC41" i="27"/>
  <c r="AB40" i="27"/>
  <c r="AC40" i="27" s="1"/>
  <c r="AD40" i="27" s="1"/>
  <c r="AE40" i="27" s="1"/>
  <c r="AF40" i="27" s="1"/>
  <c r="AG40" i="27" s="1"/>
  <c r="AI40" i="27" s="1"/>
  <c r="AJ40" i="27" s="1"/>
  <c r="AK40" i="27" s="1"/>
  <c r="V40" i="27"/>
  <c r="W40" i="27" s="1"/>
  <c r="X40" i="27" s="1"/>
  <c r="Y40" i="27" s="1"/>
  <c r="Z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L46" i="25"/>
  <c r="AK46" i="25"/>
  <c r="AN45" i="25"/>
  <c r="AN44" i="25"/>
  <c r="AN43" i="25"/>
  <c r="AN42" i="25"/>
  <c r="S42" i="25"/>
  <c r="AN41" i="25"/>
  <c r="AK41" i="25"/>
  <c r="AD40" i="25"/>
  <c r="AE40" i="25" s="1"/>
  <c r="AF40" i="25" s="1"/>
  <c r="AG40" i="25" s="1"/>
  <c r="AI40" i="25" s="1"/>
  <c r="AJ40" i="25" s="1"/>
  <c r="AK40" i="25" s="1"/>
  <c r="V40" i="25"/>
  <c r="W40" i="25" s="1"/>
  <c r="X40" i="25" s="1"/>
  <c r="Y40" i="25" s="1"/>
  <c r="Z40" i="25" s="1"/>
  <c r="AB40" i="25" s="1"/>
  <c r="AC40" i="25" s="1"/>
  <c r="U40" i="25"/>
  <c r="AC33" i="25"/>
  <c r="V33" i="25"/>
  <c r="AC32" i="25"/>
  <c r="V32" i="25"/>
  <c r="AC30" i="25"/>
  <c r="V30" i="25"/>
  <c r="AC29" i="25"/>
  <c r="V29" i="25"/>
  <c r="AC28" i="25"/>
  <c r="V28" i="25"/>
  <c r="AC27" i="25"/>
  <c r="V27" i="25"/>
  <c r="S25" i="25"/>
  <c r="S24" i="25"/>
  <c r="AE16" i="25"/>
  <c r="AN13" i="25"/>
  <c r="AN12" i="25"/>
  <c r="AN11" i="25"/>
  <c r="AN10" i="25"/>
  <c r="AN9" i="25"/>
  <c r="AN8" i="25"/>
  <c r="AE8" i="25"/>
  <c r="X8" i="25"/>
  <c r="AN7" i="25"/>
  <c r="AL7" i="25"/>
  <c r="AK7" i="25"/>
  <c r="AN6" i="25"/>
  <c r="AN5" i="25"/>
  <c r="I5" i="25"/>
  <c r="AN4" i="25"/>
  <c r="AC4" i="25"/>
  <c r="S4" i="25"/>
  <c r="AN3" i="25"/>
  <c r="AC3" i="25"/>
  <c r="S3" i="25"/>
  <c r="AN2" i="25"/>
  <c r="AK2" i="25"/>
  <c r="AC2" i="25"/>
  <c r="S2" i="25"/>
  <c r="AN53" i="24"/>
  <c r="AN52" i="24"/>
  <c r="AN51" i="24"/>
  <c r="AN50" i="24"/>
  <c r="AN49" i="24"/>
  <c r="AN48" i="24"/>
  <c r="AN47" i="24"/>
  <c r="AE47" i="24"/>
  <c r="X47" i="24"/>
  <c r="AN46" i="24"/>
  <c r="AL46" i="24"/>
  <c r="AK46" i="24"/>
  <c r="AN45" i="24"/>
  <c r="AN44" i="24"/>
  <c r="AN43" i="24"/>
  <c r="AC43" i="24"/>
  <c r="AN42" i="24"/>
  <c r="AN41" i="24"/>
  <c r="AK41" i="24"/>
  <c r="AC41" i="24"/>
  <c r="S41" i="24"/>
  <c r="AC40" i="24"/>
  <c r="AD40" i="24" s="1"/>
  <c r="AE40" i="24" s="1"/>
  <c r="AF40" i="24" s="1"/>
  <c r="AG40" i="24" s="1"/>
  <c r="AI40" i="24" s="1"/>
  <c r="AJ40" i="24" s="1"/>
  <c r="AK40" i="24" s="1"/>
  <c r="U40" i="24"/>
  <c r="V40" i="24" s="1"/>
  <c r="W40" i="24" s="1"/>
  <c r="X40" i="24" s="1"/>
  <c r="Y40" i="24" s="1"/>
  <c r="Z40" i="24" s="1"/>
  <c r="AB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S5" i="24"/>
  <c r="AN4" i="24"/>
  <c r="AC4" i="24"/>
  <c r="S4" i="24"/>
  <c r="I5" i="24" s="1"/>
  <c r="J6" i="24" s="1"/>
  <c r="AN3" i="24"/>
  <c r="AC3" i="24"/>
  <c r="S3" i="24"/>
  <c r="AN2" i="24"/>
  <c r="AK2" i="24"/>
  <c r="AC2" i="24"/>
  <c r="S2" i="24"/>
  <c r="BF63" i="23"/>
  <c r="BF62" i="23"/>
  <c r="BF61" i="23"/>
  <c r="BF60" i="23"/>
  <c r="BF59" i="23"/>
  <c r="BF58" i="23"/>
  <c r="BF57" i="23"/>
  <c r="BF56" i="23"/>
  <c r="BB56" i="23"/>
  <c r="AW56" i="23"/>
  <c r="AU56" i="23"/>
  <c r="Y56" i="23"/>
  <c r="W56" i="23"/>
  <c r="BF52" i="23"/>
  <c r="BF51" i="23"/>
  <c r="J51" i="23"/>
  <c r="BF50" i="23"/>
  <c r="I50" i="23"/>
  <c r="BF49" i="23"/>
  <c r="BF48" i="23"/>
  <c r="BF47" i="23"/>
  <c r="BF46" i="23"/>
  <c r="BC46" i="23"/>
  <c r="AW45" i="23"/>
  <c r="AX45" i="23" s="1"/>
  <c r="AY45" i="23" s="1"/>
  <c r="BA45" i="23" s="1"/>
  <c r="BB45" i="23" s="1"/>
  <c r="BC45" i="23" s="1"/>
  <c r="V45" i="23"/>
  <c r="W45" i="23" s="1"/>
  <c r="X45" i="23" s="1"/>
  <c r="Y45" i="23" s="1"/>
  <c r="Z45" i="23" s="1"/>
  <c r="AA45" i="23" s="1"/>
  <c r="AC45" i="23" s="1"/>
  <c r="AD45" i="23" s="1"/>
  <c r="U45" i="23"/>
  <c r="AD37" i="23"/>
  <c r="V37" i="23"/>
  <c r="AD36" i="23"/>
  <c r="V36" i="23"/>
  <c r="AD34" i="23"/>
  <c r="V34" i="23"/>
  <c r="AD33" i="23"/>
  <c r="V33" i="23"/>
  <c r="AD32" i="23"/>
  <c r="V32" i="23"/>
  <c r="AD31" i="23"/>
  <c r="V31" i="23"/>
  <c r="S29" i="23"/>
  <c r="S28" i="23"/>
  <c r="BF18" i="23"/>
  <c r="BF17" i="23"/>
  <c r="BF16" i="23"/>
  <c r="BF15" i="23"/>
  <c r="BF14" i="23"/>
  <c r="BF13" i="23"/>
  <c r="BF12" i="23"/>
  <c r="BB12" i="23"/>
  <c r="AW12" i="23"/>
  <c r="AU12" i="23"/>
  <c r="Y12" i="23"/>
  <c r="W12" i="23"/>
  <c r="BF8" i="23"/>
  <c r="BF7" i="23"/>
  <c r="J7" i="23"/>
  <c r="BF6" i="23"/>
  <c r="I6" i="23"/>
  <c r="BF5" i="23"/>
  <c r="BF4" i="23"/>
  <c r="AD4" i="23"/>
  <c r="S4" i="23"/>
  <c r="K8" i="23" s="1"/>
  <c r="S8" i="23" s="1"/>
  <c r="BF3" i="23"/>
  <c r="AD3" i="23"/>
  <c r="S3" i="23"/>
  <c r="BF2" i="23"/>
  <c r="BC2" i="23"/>
  <c r="AD2" i="23"/>
  <c r="S2" i="23"/>
  <c r="AN53" i="22"/>
  <c r="AN52" i="22"/>
  <c r="AN51" i="22"/>
  <c r="AN50" i="22"/>
  <c r="AN49" i="22"/>
  <c r="AN48" i="22"/>
  <c r="AN47" i="22"/>
  <c r="AE47" i="22"/>
  <c r="X47" i="22"/>
  <c r="AN46" i="22"/>
  <c r="AL46" i="22"/>
  <c r="AK46" i="22"/>
  <c r="AN45" i="22"/>
  <c r="AN44" i="22"/>
  <c r="AN43" i="22"/>
  <c r="AN42" i="22"/>
  <c r="S42" i="22"/>
  <c r="AN41" i="22"/>
  <c r="AK41" i="22"/>
  <c r="W40" i="22"/>
  <c r="X40" i="22" s="1"/>
  <c r="Y40" i="22" s="1"/>
  <c r="Z40" i="22" s="1"/>
  <c r="AB40" i="22" s="1"/>
  <c r="AC40" i="22" s="1"/>
  <c r="AD40" i="22" s="1"/>
  <c r="AE40" i="22" s="1"/>
  <c r="AF40" i="22" s="1"/>
  <c r="AG40" i="22" s="1"/>
  <c r="AI40" i="22" s="1"/>
  <c r="AJ40" i="22" s="1"/>
  <c r="AK40" i="22" s="1"/>
  <c r="U40" i="22"/>
  <c r="V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S42" i="21"/>
  <c r="AN41" i="21"/>
  <c r="AK41" i="21"/>
  <c r="X40" i="21"/>
  <c r="Y40" i="21" s="1"/>
  <c r="Z40" i="21" s="1"/>
  <c r="AB40" i="21" s="1"/>
  <c r="AC40" i="21" s="1"/>
  <c r="AD40" i="21" s="1"/>
  <c r="AE40" i="21" s="1"/>
  <c r="AF40" i="21" s="1"/>
  <c r="AG40" i="21" s="1"/>
  <c r="AI40" i="21" s="1"/>
  <c r="AJ40" i="21" s="1"/>
  <c r="AK40" i="21" s="1"/>
  <c r="U40" i="21"/>
  <c r="V40" i="21" s="1"/>
  <c r="W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N53" i="20"/>
  <c r="AN52" i="20"/>
  <c r="AN51" i="20"/>
  <c r="AN50" i="20"/>
  <c r="AN49" i="20"/>
  <c r="AN48" i="20"/>
  <c r="AN47" i="20"/>
  <c r="AE47" i="20"/>
  <c r="X47" i="20"/>
  <c r="AN46" i="20"/>
  <c r="AL46" i="20"/>
  <c r="AK46" i="20"/>
  <c r="AN45" i="20"/>
  <c r="AN44" i="20"/>
  <c r="AN43" i="20"/>
  <c r="AN42" i="20"/>
  <c r="AC42" i="20"/>
  <c r="AN41" i="20"/>
  <c r="AK41" i="20"/>
  <c r="Y40" i="20"/>
  <c r="Z40" i="20" s="1"/>
  <c r="AB40" i="20" s="1"/>
  <c r="AC40" i="20" s="1"/>
  <c r="AD40" i="20" s="1"/>
  <c r="AE40" i="20" s="1"/>
  <c r="AF40" i="20" s="1"/>
  <c r="AG40" i="20" s="1"/>
  <c r="AI40" i="20" s="1"/>
  <c r="AJ40" i="20" s="1"/>
  <c r="AK40" i="20" s="1"/>
  <c r="U40" i="20"/>
  <c r="V40" i="20" s="1"/>
  <c r="W40" i="20" s="1"/>
  <c r="X40" i="20" s="1"/>
  <c r="AC33" i="20"/>
  <c r="V33" i="20"/>
  <c r="AC32" i="20"/>
  <c r="V32" i="20"/>
  <c r="AC30" i="20"/>
  <c r="V30" i="20"/>
  <c r="AC29" i="20"/>
  <c r="V29" i="20"/>
  <c r="AC28" i="20"/>
  <c r="V28" i="20"/>
  <c r="AC27" i="20"/>
  <c r="V27" i="20"/>
  <c r="S25" i="20"/>
  <c r="S24" i="20"/>
  <c r="AE16" i="20"/>
  <c r="AN13" i="20"/>
  <c r="AN12" i="20"/>
  <c r="AN11" i="20"/>
  <c r="AN10" i="20"/>
  <c r="AN9" i="20"/>
  <c r="AN8" i="20"/>
  <c r="AE8" i="20"/>
  <c r="X8" i="20"/>
  <c r="AN7" i="20"/>
  <c r="AL7" i="20"/>
  <c r="AK7" i="20"/>
  <c r="AN6" i="20"/>
  <c r="AN5" i="20"/>
  <c r="AN4" i="20"/>
  <c r="AC4" i="20"/>
  <c r="S4" i="20"/>
  <c r="I5" i="20" s="1"/>
  <c r="AN3" i="20"/>
  <c r="AC3" i="20"/>
  <c r="S3" i="20"/>
  <c r="AN2" i="20"/>
  <c r="AK2" i="20"/>
  <c r="AC2" i="20"/>
  <c r="S2" i="20"/>
  <c r="AU53" i="19"/>
  <c r="AU52" i="19"/>
  <c r="AU51" i="19"/>
  <c r="AU50" i="19"/>
  <c r="AU49" i="19"/>
  <c r="AU48" i="19"/>
  <c r="AU47" i="19"/>
  <c r="AL47" i="19"/>
  <c r="AE47" i="19"/>
  <c r="X47" i="19"/>
  <c r="AU46" i="19"/>
  <c r="AS46" i="19"/>
  <c r="AR46" i="19"/>
  <c r="AU45" i="19"/>
  <c r="AU44" i="19"/>
  <c r="AU43" i="19"/>
  <c r="AC43" i="19"/>
  <c r="S43" i="19"/>
  <c r="I44" i="19" s="1"/>
  <c r="AU42" i="19"/>
  <c r="AU41" i="19"/>
  <c r="AR41" i="19"/>
  <c r="S41" i="19"/>
  <c r="U40" i="19"/>
  <c r="V40" i="19" s="1"/>
  <c r="W40" i="19" s="1"/>
  <c r="X40" i="19" s="1"/>
  <c r="Y40" i="19" s="1"/>
  <c r="Z40" i="19" s="1"/>
  <c r="AB40" i="19" s="1"/>
  <c r="AC40" i="19" s="1"/>
  <c r="AD40" i="19" s="1"/>
  <c r="AE40" i="19" s="1"/>
  <c r="AF40" i="19" s="1"/>
  <c r="AG40" i="19" s="1"/>
  <c r="AI40" i="19" s="1"/>
  <c r="AJ40" i="19" s="1"/>
  <c r="AK40" i="19" s="1"/>
  <c r="AL40" i="19" s="1"/>
  <c r="AM40" i="19" s="1"/>
  <c r="AN40" i="19" s="1"/>
  <c r="AP40" i="19" s="1"/>
  <c r="AQ40" i="19" s="1"/>
  <c r="AR40" i="19" s="1"/>
  <c r="AJ33" i="19"/>
  <c r="AC33" i="19"/>
  <c r="V33" i="19"/>
  <c r="AJ32" i="19"/>
  <c r="AC32" i="19"/>
  <c r="V32" i="19"/>
  <c r="AJ30" i="19"/>
  <c r="AC30" i="19"/>
  <c r="V30" i="19"/>
  <c r="AJ29" i="19"/>
  <c r="AC29" i="19"/>
  <c r="V29" i="19"/>
  <c r="AJ28" i="19"/>
  <c r="AC28" i="19"/>
  <c r="V28" i="19"/>
  <c r="AJ27" i="19"/>
  <c r="AC27" i="19"/>
  <c r="V27" i="19"/>
  <c r="S25" i="19"/>
  <c r="S24" i="19"/>
  <c r="AE16" i="19"/>
  <c r="AU13" i="19"/>
  <c r="AU12" i="19"/>
  <c r="AU11" i="19"/>
  <c r="AU10" i="19"/>
  <c r="AU9" i="19"/>
  <c r="AU8" i="19"/>
  <c r="AL8" i="19"/>
  <c r="AE8" i="19"/>
  <c r="X8" i="19"/>
  <c r="AU7" i="19"/>
  <c r="AS7" i="19"/>
  <c r="AR7" i="19"/>
  <c r="AU6" i="19"/>
  <c r="AU5" i="19"/>
  <c r="AU4" i="19"/>
  <c r="AC4" i="19"/>
  <c r="S4" i="19"/>
  <c r="I5" i="19" s="1"/>
  <c r="AU3" i="19"/>
  <c r="AC3" i="19"/>
  <c r="S3" i="19"/>
  <c r="AU2" i="19"/>
  <c r="AR2" i="19"/>
  <c r="AC2" i="19"/>
  <c r="S2" i="19"/>
  <c r="AX62" i="18"/>
  <c r="AX61" i="18"/>
  <c r="AX60" i="18"/>
  <c r="AX59" i="18"/>
  <c r="AX58" i="18"/>
  <c r="AX57" i="18"/>
  <c r="AX56" i="18"/>
  <c r="AX55" i="18"/>
  <c r="AX54" i="18"/>
  <c r="AO54" i="18"/>
  <c r="W54" i="18"/>
  <c r="AX51" i="18"/>
  <c r="AV51" i="18"/>
  <c r="AX50" i="18"/>
  <c r="AX49" i="18"/>
  <c r="AX48" i="18"/>
  <c r="AX47" i="18"/>
  <c r="AB47" i="18"/>
  <c r="S47" i="18"/>
  <c r="AX46" i="18"/>
  <c r="AX45" i="18"/>
  <c r="AU45" i="18"/>
  <c r="S45" i="18"/>
  <c r="AU44" i="18"/>
  <c r="AO44" i="18"/>
  <c r="AP44" i="18" s="1"/>
  <c r="AQ44" i="18" s="1"/>
  <c r="AS44" i="18" s="1"/>
  <c r="AT44" i="18" s="1"/>
  <c r="AN44" i="18"/>
  <c r="AA44" i="18"/>
  <c r="AB44" i="18" s="1"/>
  <c r="U44" i="18"/>
  <c r="V44" i="18" s="1"/>
  <c r="W44" i="18" s="1"/>
  <c r="X44" i="18" s="1"/>
  <c r="Y44" i="18" s="1"/>
  <c r="AB36" i="18"/>
  <c r="V36" i="18"/>
  <c r="AB35" i="18"/>
  <c r="V35" i="18"/>
  <c r="AB33" i="18"/>
  <c r="V33" i="18"/>
  <c r="AB32" i="18"/>
  <c r="V32" i="18"/>
  <c r="AB31" i="18"/>
  <c r="V31" i="18"/>
  <c r="AB30" i="18"/>
  <c r="V30" i="18"/>
  <c r="S28" i="18"/>
  <c r="S27" i="18"/>
  <c r="AX17" i="18"/>
  <c r="AX16" i="18"/>
  <c r="AX15" i="18"/>
  <c r="AX14" i="18"/>
  <c r="AX13" i="18"/>
  <c r="AX12" i="18"/>
  <c r="AX11" i="18"/>
  <c r="AO11" i="18"/>
  <c r="W11" i="18"/>
  <c r="AX8" i="18"/>
  <c r="AV8" i="18"/>
  <c r="K8" i="18"/>
  <c r="S8" i="18" s="1"/>
  <c r="AX7" i="18"/>
  <c r="AX6" i="18"/>
  <c r="AX5" i="18"/>
  <c r="AB5" i="18"/>
  <c r="S5" i="18"/>
  <c r="J7" i="18" s="1"/>
  <c r="AX4" i="18"/>
  <c r="AB4" i="18"/>
  <c r="S4" i="18"/>
  <c r="AX3" i="18"/>
  <c r="AB3" i="18"/>
  <c r="S3" i="18"/>
  <c r="AX2" i="18"/>
  <c r="AB2" i="18"/>
  <c r="S2" i="18"/>
  <c r="AT65" i="17"/>
  <c r="AT64" i="17"/>
  <c r="AT63" i="17"/>
  <c r="AT62" i="17"/>
  <c r="AT61" i="17"/>
  <c r="AT60" i="17"/>
  <c r="AT59" i="17"/>
  <c r="AT58" i="17"/>
  <c r="AT57" i="17"/>
  <c r="AK57" i="17"/>
  <c r="AB57" i="17"/>
  <c r="AT56" i="17"/>
  <c r="AR56" i="17"/>
  <c r="AT55" i="17"/>
  <c r="AR55" i="17"/>
  <c r="AT54" i="17"/>
  <c r="AT53" i="17"/>
  <c r="AT52" i="17"/>
  <c r="AT51" i="17"/>
  <c r="AT50" i="17"/>
  <c r="AG50" i="17"/>
  <c r="AT49" i="17"/>
  <c r="AQ49" i="17"/>
  <c r="AK48" i="17"/>
  <c r="AL48" i="17" s="1"/>
  <c r="AM48" i="17" s="1"/>
  <c r="AO48" i="17" s="1"/>
  <c r="AP48" i="17" s="1"/>
  <c r="AQ48" i="17" s="1"/>
  <c r="AJ48" i="17"/>
  <c r="AA48" i="17"/>
  <c r="AB48" i="17" s="1"/>
  <c r="AC48" i="17" s="1"/>
  <c r="AD48" i="17" s="1"/>
  <c r="AF48" i="17" s="1"/>
  <c r="AG48" i="17" s="1"/>
  <c r="X48" i="17"/>
  <c r="W48" i="17"/>
  <c r="AG39" i="17"/>
  <c r="X39" i="17"/>
  <c r="AG38" i="17"/>
  <c r="X38" i="17"/>
  <c r="AG36" i="17"/>
  <c r="X36" i="17"/>
  <c r="AG35" i="17"/>
  <c r="X35" i="17"/>
  <c r="AG34" i="17"/>
  <c r="X34" i="17"/>
  <c r="AG33" i="17"/>
  <c r="X33" i="17"/>
  <c r="U31" i="17"/>
  <c r="U30" i="17"/>
  <c r="AK22" i="17"/>
  <c r="AT17" i="17"/>
  <c r="AT16" i="17"/>
  <c r="AT15" i="17"/>
  <c r="AT14" i="17"/>
  <c r="AT13" i="17"/>
  <c r="AT12" i="17"/>
  <c r="AT10" i="17"/>
  <c r="AK10" i="17"/>
  <c r="AB10" i="17"/>
  <c r="AT8" i="17"/>
  <c r="AR8" i="17"/>
  <c r="AT7" i="17"/>
  <c r="AT6" i="17"/>
  <c r="I6" i="17"/>
  <c r="J7" i="17" s="1"/>
  <c r="AT5" i="17"/>
  <c r="AG5" i="17"/>
  <c r="U5" i="17"/>
  <c r="AT4" i="17"/>
  <c r="AG4" i="17"/>
  <c r="U4" i="17"/>
  <c r="AT3" i="17"/>
  <c r="AG3" i="17"/>
  <c r="U3" i="17"/>
  <c r="AT2" i="17"/>
  <c r="AG2" i="17"/>
  <c r="U2" i="17"/>
  <c r="AP57" i="16"/>
  <c r="AP56" i="16"/>
  <c r="AP55" i="16"/>
  <c r="AP54" i="16"/>
  <c r="AP53" i="16"/>
  <c r="AP52" i="16"/>
  <c r="AP51" i="16"/>
  <c r="AP50" i="16"/>
  <c r="AG50" i="16"/>
  <c r="Y50" i="16"/>
  <c r="AP49" i="16"/>
  <c r="AN49" i="16"/>
  <c r="AP48" i="16"/>
  <c r="AP47" i="16"/>
  <c r="AP46" i="16"/>
  <c r="AD46" i="16"/>
  <c r="AP45" i="16"/>
  <c r="AP44" i="16"/>
  <c r="AP43" i="16"/>
  <c r="AM43" i="16"/>
  <c r="AI42" i="16"/>
  <c r="AK42" i="16" s="1"/>
  <c r="AL42" i="16" s="1"/>
  <c r="AM42" i="16" s="1"/>
  <c r="AH42" i="16"/>
  <c r="AG42" i="16"/>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S7" i="16"/>
  <c r="J7" i="16"/>
  <c r="K8" i="16" s="1"/>
  <c r="S8" i="16" s="1"/>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D45" i="15"/>
  <c r="S45" i="15"/>
  <c r="AP44" i="15"/>
  <c r="AP43" i="15"/>
  <c r="AM43" i="15"/>
  <c r="S43" i="15"/>
  <c r="AG42" i="15"/>
  <c r="AH42" i="15" s="1"/>
  <c r="AI42" i="15" s="1"/>
  <c r="AK42" i="15" s="1"/>
  <c r="AL42" i="15" s="1"/>
  <c r="AM42" i="15" s="1"/>
  <c r="AF42" i="15"/>
  <c r="AC42" i="15"/>
  <c r="AD42" i="15" s="1"/>
  <c r="X42" i="15"/>
  <c r="Y42" i="15" s="1"/>
  <c r="Z42" i="15" s="1"/>
  <c r="AA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S44" i="14"/>
  <c r="AP43" i="14"/>
  <c r="AM43" i="14"/>
  <c r="AI42" i="14"/>
  <c r="AK42" i="14" s="1"/>
  <c r="AL42" i="14" s="1"/>
  <c r="AM42" i="14" s="1"/>
  <c r="AH42" i="14"/>
  <c r="AG42" i="14"/>
  <c r="AF42" i="14"/>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S7" i="14"/>
  <c r="AP6" i="14"/>
  <c r="AP5" i="14"/>
  <c r="AD5" i="14"/>
  <c r="S5" i="14"/>
  <c r="I6" i="14" s="1"/>
  <c r="J7" i="14" s="1"/>
  <c r="K8" i="14" s="1"/>
  <c r="S8"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D43" i="13"/>
  <c r="S43" i="13"/>
  <c r="AF42" i="13"/>
  <c r="AG42" i="13" s="1"/>
  <c r="AH42" i="13" s="1"/>
  <c r="AI42" i="13" s="1"/>
  <c r="AK42" i="13" s="1"/>
  <c r="AL42" i="13" s="1"/>
  <c r="AM42" i="13" s="1"/>
  <c r="AD42" i="13"/>
  <c r="X42" i="13"/>
  <c r="Y42" i="13" s="1"/>
  <c r="Z42" i="13" s="1"/>
  <c r="AA42" i="13" s="1"/>
  <c r="AC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S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S45" i="12"/>
  <c r="AP44" i="12"/>
  <c r="AP43" i="12"/>
  <c r="AM43" i="12"/>
  <c r="AL42" i="12"/>
  <c r="AM42" i="12" s="1"/>
  <c r="AF42" i="12"/>
  <c r="AG42" i="12" s="1"/>
  <c r="AH42" i="12" s="1"/>
  <c r="AI42" i="12" s="1"/>
  <c r="AK42" i="12" s="1"/>
  <c r="AA42" i="12"/>
  <c r="AC42" i="12" s="1"/>
  <c r="AD42" i="12" s="1"/>
  <c r="X42" i="12"/>
  <c r="Y42" i="12" s="1"/>
  <c r="Z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I6" i="12"/>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I47" i="11"/>
  <c r="AP46" i="11"/>
  <c r="AP45" i="11"/>
  <c r="AP44" i="11"/>
  <c r="AD44" i="11"/>
  <c r="S44" i="11"/>
  <c r="AP43" i="11"/>
  <c r="AM43" i="11"/>
  <c r="AI42" i="11"/>
  <c r="AK42" i="11" s="1"/>
  <c r="AL42" i="11" s="1"/>
  <c r="AM42" i="11" s="1"/>
  <c r="AH42" i="11"/>
  <c r="AG42" i="1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E11" i="9"/>
  <c r="D7" i="9"/>
  <c r="F13" i="8"/>
  <c r="E13" i="8"/>
  <c r="F8" i="8"/>
  <c r="E8" i="8"/>
  <c r="D5" i="8"/>
  <c r="D53" i="7"/>
  <c r="D52" i="7"/>
  <c r="G50" i="7"/>
  <c r="E45" i="7"/>
  <c r="G44" i="7"/>
  <c r="E43" i="7"/>
  <c r="G42" i="7"/>
  <c r="E42" i="7"/>
  <c r="G38" i="7"/>
  <c r="E38" i="7"/>
  <c r="E37" i="7"/>
  <c r="E36" i="7"/>
  <c r="G35" i="7"/>
  <c r="E35" i="7"/>
  <c r="G34" i="7"/>
  <c r="E34" i="7"/>
  <c r="G33" i="7"/>
  <c r="E33" i="7"/>
  <c r="E32" i="7"/>
  <c r="D32" i="7"/>
  <c r="D35" i="7" s="1"/>
  <c r="A32" i="7"/>
  <c r="G28" i="7"/>
  <c r="G27" i="7"/>
  <c r="G26" i="7"/>
  <c r="E18" i="7"/>
  <c r="G17" i="7"/>
  <c r="E17" i="7"/>
  <c r="G16" i="7"/>
  <c r="E16" i="7"/>
  <c r="F15" i="7"/>
  <c r="F14" i="7"/>
  <c r="G13" i="7"/>
  <c r="E13" i="7"/>
  <c r="E12" i="7"/>
  <c r="F11" i="7"/>
  <c r="D5" i="7"/>
  <c r="D4" i="7"/>
  <c r="D5" i="6"/>
  <c r="AQ116" i="5"/>
  <c r="AP116" i="5"/>
  <c r="S48" i="26" s="1"/>
  <c r="K52" i="26" s="1"/>
  <c r="S52" i="26" s="1"/>
  <c r="AO116" i="5"/>
  <c r="S47" i="26" s="1"/>
  <c r="AN116" i="5"/>
  <c r="S46" i="26" s="1"/>
  <c r="AM116" i="5"/>
  <c r="AL116" i="5"/>
  <c r="AD48" i="26" s="1"/>
  <c r="AK116" i="5"/>
  <c r="AD47" i="26" s="1"/>
  <c r="AJ116" i="5"/>
  <c r="AI116" i="5"/>
  <c r="AH116" i="5"/>
  <c r="F78" i="43" s="1"/>
  <c r="AQ111" i="5"/>
  <c r="AP111" i="5"/>
  <c r="S43" i="25" s="1"/>
  <c r="I44" i="25" s="1"/>
  <c r="AO111" i="5"/>
  <c r="AN111" i="5"/>
  <c r="S41" i="25" s="1"/>
  <c r="AM111" i="5"/>
  <c r="AL111" i="5"/>
  <c r="AC43" i="25" s="1"/>
  <c r="AK111" i="5"/>
  <c r="AC42" i="25" s="1"/>
  <c r="AJ111" i="5"/>
  <c r="AI111" i="5"/>
  <c r="AH111" i="5"/>
  <c r="AQ106" i="5"/>
  <c r="AP106" i="5"/>
  <c r="S43" i="24" s="1"/>
  <c r="I44" i="24" s="1"/>
  <c r="AO106" i="5"/>
  <c r="S42" i="24" s="1"/>
  <c r="AN106" i="5"/>
  <c r="AM106" i="5"/>
  <c r="AL106" i="5"/>
  <c r="AK106" i="5"/>
  <c r="AC42" i="24" s="1"/>
  <c r="AJ106" i="5"/>
  <c r="AI106" i="5"/>
  <c r="AH106" i="5"/>
  <c r="AQ100" i="5"/>
  <c r="AP100" i="5"/>
  <c r="S48" i="29" s="1"/>
  <c r="K52" i="29" s="1"/>
  <c r="S52" i="29" s="1"/>
  <c r="AO100" i="5"/>
  <c r="S47" i="29" s="1"/>
  <c r="AN100" i="5"/>
  <c r="S46" i="29" s="1"/>
  <c r="AM100" i="5"/>
  <c r="AL100" i="5"/>
  <c r="AD48" i="29" s="1"/>
  <c r="AK100" i="5"/>
  <c r="AJ100" i="5"/>
  <c r="AI100" i="5"/>
  <c r="AH100" i="5"/>
  <c r="AQ95" i="5"/>
  <c r="AP95" i="5"/>
  <c r="AO95" i="5"/>
  <c r="AN95" i="5"/>
  <c r="AM95" i="5"/>
  <c r="AL95" i="5"/>
  <c r="AK95" i="5"/>
  <c r="AJ95" i="5"/>
  <c r="G242" i="43" s="1"/>
  <c r="AI95" i="5"/>
  <c r="AH95" i="5"/>
  <c r="F66" i="43" s="1"/>
  <c r="AQ90" i="5"/>
  <c r="AP90" i="5"/>
  <c r="S43" i="28" s="1"/>
  <c r="I44" i="28" s="1"/>
  <c r="AO90" i="5"/>
  <c r="S42" i="28" s="1"/>
  <c r="AN90" i="5"/>
  <c r="S41" i="27" s="1"/>
  <c r="AM90" i="5"/>
  <c r="AL90" i="5"/>
  <c r="AC43" i="28" s="1"/>
  <c r="AK90" i="5"/>
  <c r="AC42" i="27" s="1"/>
  <c r="AJ90" i="5"/>
  <c r="AI90" i="5"/>
  <c r="AH90" i="5"/>
  <c r="AQ84" i="5"/>
  <c r="AP84" i="5"/>
  <c r="S48" i="23" s="1"/>
  <c r="K52" i="23" s="1"/>
  <c r="S52" i="23" s="1"/>
  <c r="AO84" i="5"/>
  <c r="S47" i="23" s="1"/>
  <c r="AN84" i="5"/>
  <c r="S46" i="23" s="1"/>
  <c r="AM84" i="5"/>
  <c r="AL84" i="5"/>
  <c r="AD48" i="23" s="1"/>
  <c r="AK84" i="5"/>
  <c r="AD47" i="23" s="1"/>
  <c r="AJ84" i="5"/>
  <c r="G60" i="43" s="1"/>
  <c r="AI84" i="5"/>
  <c r="AH84" i="5"/>
  <c r="AQ79" i="5"/>
  <c r="AP79" i="5"/>
  <c r="S43" i="22" s="1"/>
  <c r="I44" i="22" s="1"/>
  <c r="J45" i="22" s="1"/>
  <c r="AO79" i="5"/>
  <c r="AN79" i="5"/>
  <c r="S41" i="22" s="1"/>
  <c r="AM79" i="5"/>
  <c r="AL79" i="5"/>
  <c r="AC43" i="22" s="1"/>
  <c r="AK79" i="5"/>
  <c r="AC42" i="22" s="1"/>
  <c r="AJ79" i="5"/>
  <c r="AI79" i="5"/>
  <c r="AH79" i="5"/>
  <c r="AQ74" i="5"/>
  <c r="AP74" i="5"/>
  <c r="S43" i="21" s="1"/>
  <c r="I44" i="21" s="1"/>
  <c r="AO74" i="5"/>
  <c r="AN74" i="5"/>
  <c r="S41" i="21" s="1"/>
  <c r="AM74" i="5"/>
  <c r="AL74" i="5"/>
  <c r="AC43" i="21" s="1"/>
  <c r="AK74" i="5"/>
  <c r="AC42" i="21" s="1"/>
  <c r="AJ74" i="5"/>
  <c r="AC41" i="21" s="1"/>
  <c r="AI74" i="5"/>
  <c r="AH74" i="5"/>
  <c r="AQ69" i="5"/>
  <c r="AP69" i="5"/>
  <c r="S43" i="20" s="1"/>
  <c r="I44" i="20" s="1"/>
  <c r="S44" i="20" s="1"/>
  <c r="AO69" i="5"/>
  <c r="S42" i="20" s="1"/>
  <c r="AN69" i="5"/>
  <c r="S41" i="20" s="1"/>
  <c r="AM69" i="5"/>
  <c r="AL69" i="5"/>
  <c r="AC43" i="20" s="1"/>
  <c r="AK69" i="5"/>
  <c r="AJ69" i="5"/>
  <c r="AC41" i="20" s="1"/>
  <c r="AI69" i="5"/>
  <c r="AH69" i="5"/>
  <c r="AQ64" i="5"/>
  <c r="AP64" i="5"/>
  <c r="AO64" i="5"/>
  <c r="S42" i="19" s="1"/>
  <c r="AN64" i="5"/>
  <c r="AM64" i="5"/>
  <c r="AL64" i="5"/>
  <c r="AK64" i="5"/>
  <c r="AC42" i="19" s="1"/>
  <c r="AJ64" i="5"/>
  <c r="AC41" i="19" s="1"/>
  <c r="AH64" i="5"/>
  <c r="F48" i="43" s="1"/>
  <c r="G64" i="5"/>
  <c r="AI64" i="5" s="1"/>
  <c r="AQ48" i="5"/>
  <c r="S48" i="18" s="1"/>
  <c r="AP48" i="5"/>
  <c r="AO48" i="5"/>
  <c r="S46" i="18" s="1"/>
  <c r="AN48" i="5"/>
  <c r="AM48" i="5"/>
  <c r="AB48" i="18" s="1"/>
  <c r="AL48" i="5"/>
  <c r="AK48" i="5"/>
  <c r="AB46" i="18" s="1"/>
  <c r="AJ48" i="5"/>
  <c r="AI48" i="5"/>
  <c r="AH48" i="5"/>
  <c r="AQ43" i="5"/>
  <c r="S46" i="13" s="1"/>
  <c r="I47" i="13" s="1"/>
  <c r="S47" i="13" s="1"/>
  <c r="AP43" i="5"/>
  <c r="S45" i="13" s="1"/>
  <c r="AO43" i="5"/>
  <c r="S44" i="13" s="1"/>
  <c r="AN43" i="5"/>
  <c r="AM43" i="5"/>
  <c r="AD46" i="13" s="1"/>
  <c r="AL43" i="5"/>
  <c r="AD45" i="13" s="1"/>
  <c r="AK43" i="5"/>
  <c r="AD44" i="13" s="1"/>
  <c r="AJ43" i="5"/>
  <c r="AI43" i="5"/>
  <c r="AH43" i="5"/>
  <c r="AQ38" i="5"/>
  <c r="S46" i="16" s="1"/>
  <c r="AP38" i="5"/>
  <c r="S45" i="16" s="1"/>
  <c r="AO38" i="5"/>
  <c r="S44" i="16" s="1"/>
  <c r="AN38" i="5"/>
  <c r="S43" i="16" s="1"/>
  <c r="AM38" i="5"/>
  <c r="AL38" i="5"/>
  <c r="AD45" i="16" s="1"/>
  <c r="AK38" i="5"/>
  <c r="AD44" i="16" s="1"/>
  <c r="AJ38" i="5"/>
  <c r="AI38" i="5"/>
  <c r="AH38" i="5"/>
  <c r="AQ33" i="5"/>
  <c r="S46" i="15" s="1"/>
  <c r="I47" i="15" s="1"/>
  <c r="AP33" i="5"/>
  <c r="AO33" i="5"/>
  <c r="S44" i="15" s="1"/>
  <c r="AN33" i="5"/>
  <c r="AM33" i="5"/>
  <c r="AD46" i="15" s="1"/>
  <c r="AL33" i="5"/>
  <c r="AK33" i="5"/>
  <c r="AD44" i="15" s="1"/>
  <c r="AJ33" i="5"/>
  <c r="AI33" i="5"/>
  <c r="AH33" i="5"/>
  <c r="AQ28" i="5"/>
  <c r="U52" i="17" s="1"/>
  <c r="I53" i="17" s="1"/>
  <c r="J54" i="17" s="1"/>
  <c r="AP28" i="5"/>
  <c r="U51" i="17" s="1"/>
  <c r="AO28" i="5"/>
  <c r="U50" i="17" s="1"/>
  <c r="AN28" i="5"/>
  <c r="U49" i="17" s="1"/>
  <c r="AM28" i="5"/>
  <c r="AG52" i="17" s="1"/>
  <c r="AL28" i="5"/>
  <c r="AG51" i="17" s="1"/>
  <c r="AK28" i="5"/>
  <c r="AJ28" i="5"/>
  <c r="AI28" i="5"/>
  <c r="AH28" i="5"/>
  <c r="AQ23" i="5"/>
  <c r="L22" i="58" s="1"/>
  <c r="F23" i="58" s="1"/>
  <c r="AP23" i="5"/>
  <c r="L21" i="58" s="1"/>
  <c r="AO23" i="5"/>
  <c r="L20" i="58" s="1"/>
  <c r="AN23" i="5"/>
  <c r="L19" i="58" s="1"/>
  <c r="AM23" i="5"/>
  <c r="O22" i="58" s="1"/>
  <c r="AL23" i="5"/>
  <c r="AK23" i="5"/>
  <c r="O20" i="58" s="1"/>
  <c r="AJ23" i="5"/>
  <c r="AI23" i="5"/>
  <c r="AH23" i="5"/>
  <c r="F206" i="43" s="1"/>
  <c r="AQ18" i="5"/>
  <c r="S46" i="12" s="1"/>
  <c r="I47" i="12" s="1"/>
  <c r="J48" i="12" s="1"/>
  <c r="AP18" i="5"/>
  <c r="AO18" i="5"/>
  <c r="S44" i="12" s="1"/>
  <c r="AN18" i="5"/>
  <c r="S43" i="12" s="1"/>
  <c r="AM18" i="5"/>
  <c r="AD46" i="12" s="1"/>
  <c r="AL18" i="5"/>
  <c r="AD45" i="12" s="1"/>
  <c r="AK18" i="5"/>
  <c r="AD44" i="12" s="1"/>
  <c r="AJ18" i="5"/>
  <c r="AD43" i="12" s="1"/>
  <c r="AI18" i="5"/>
  <c r="AH18" i="5"/>
  <c r="AQ13" i="5"/>
  <c r="S46" i="11" s="1"/>
  <c r="AP13" i="5"/>
  <c r="S45" i="11" s="1"/>
  <c r="AO13" i="5"/>
  <c r="AN13" i="5"/>
  <c r="S43" i="11" s="1"/>
  <c r="AM13" i="5"/>
  <c r="AD46" i="11" s="1"/>
  <c r="AL13" i="5"/>
  <c r="AD45" i="11" s="1"/>
  <c r="AK13" i="5"/>
  <c r="AJ13" i="5"/>
  <c r="AI13" i="5"/>
  <c r="AH13" i="5"/>
  <c r="D6" i="5"/>
  <c r="D5" i="5"/>
  <c r="R13" i="4"/>
  <c r="I28" i="35" s="1"/>
  <c r="P13" i="4"/>
  <c r="I13" i="4"/>
  <c r="Q13" i="4" s="1"/>
  <c r="E7" i="4"/>
  <c r="D5" i="4"/>
  <c r="O13" i="3"/>
  <c r="M13" i="3" a="1"/>
  <c r="M13" i="3" s="1"/>
  <c r="J13" i="3"/>
  <c r="E13" i="3"/>
  <c r="E12" i="3"/>
  <c r="G12" i="3" s="1"/>
  <c r="E4" i="3"/>
  <c r="E59" i="2"/>
  <c r="E49" i="2"/>
  <c r="E41" i="2"/>
  <c r="E27" i="2"/>
  <c r="E26" i="2"/>
  <c r="F25" i="2"/>
  <c r="E22" i="2"/>
  <c r="E21" i="2"/>
  <c r="F20" i="2"/>
  <c r="E19" i="2"/>
  <c r="E3" i="2"/>
  <c r="E2" i="2"/>
  <c r="K55" i="17" l="1"/>
  <c r="U54" i="17"/>
  <c r="S47" i="12"/>
  <c r="J45" i="19"/>
  <c r="S44" i="19"/>
  <c r="B5" i="1"/>
  <c r="K8" i="17"/>
  <c r="U7" i="17"/>
  <c r="J6" i="20"/>
  <c r="S5" i="20"/>
  <c r="K49" i="12"/>
  <c r="S49" i="12" s="1"/>
  <c r="S48" i="12"/>
  <c r="K46" i="22"/>
  <c r="S46" i="22" s="1"/>
  <c r="S45" i="22"/>
  <c r="K8" i="13"/>
  <c r="S8" i="13" s="1"/>
  <c r="S7" i="13"/>
  <c r="AD46" i="14"/>
  <c r="J6" i="19"/>
  <c r="S5" i="19"/>
  <c r="J45" i="20"/>
  <c r="I49" i="18"/>
  <c r="K51" i="18"/>
  <c r="S51" i="18" s="1"/>
  <c r="J6" i="22"/>
  <c r="S5" i="22"/>
  <c r="S44" i="22"/>
  <c r="H10" i="40"/>
  <c r="I10" i="45"/>
  <c r="I27" i="35"/>
  <c r="I11" i="33"/>
  <c r="I26" i="30"/>
  <c r="I8" i="34"/>
  <c r="H15" i="31"/>
  <c r="I11" i="32"/>
  <c r="J48" i="16"/>
  <c r="I47" i="16"/>
  <c r="J6" i="25"/>
  <c r="S5" i="25"/>
  <c r="O21" i="58"/>
  <c r="AD45" i="14"/>
  <c r="F154" i="43"/>
  <c r="F270" i="43"/>
  <c r="F212" i="43"/>
  <c r="F96" i="43"/>
  <c r="F36" i="43"/>
  <c r="G279" i="43"/>
  <c r="G221" i="43"/>
  <c r="G163" i="43"/>
  <c r="G105" i="43"/>
  <c r="G45" i="43"/>
  <c r="AB45" i="18"/>
  <c r="G291" i="43"/>
  <c r="G233" i="43"/>
  <c r="G175" i="43"/>
  <c r="G117" i="43"/>
  <c r="G57" i="43"/>
  <c r="AC41" i="22"/>
  <c r="F294" i="43"/>
  <c r="F60" i="43"/>
  <c r="F236" i="43"/>
  <c r="F120" i="43"/>
  <c r="F178" i="43"/>
  <c r="G303" i="43"/>
  <c r="G245" i="43"/>
  <c r="G187" i="43"/>
  <c r="G129" i="43"/>
  <c r="G69" i="43"/>
  <c r="AD46" i="29"/>
  <c r="F72" i="43"/>
  <c r="F306" i="43"/>
  <c r="F132" i="43"/>
  <c r="F248" i="43"/>
  <c r="F190" i="43"/>
  <c r="D34" i="7"/>
  <c r="D36" i="7"/>
  <c r="D37" i="7" s="1"/>
  <c r="D38" i="7" s="1"/>
  <c r="D33" i="7"/>
  <c r="J7" i="12"/>
  <c r="S6" i="12"/>
  <c r="J50" i="18"/>
  <c r="J48" i="11"/>
  <c r="S47" i="11"/>
  <c r="F258" i="43"/>
  <c r="F200" i="43"/>
  <c r="F142" i="43"/>
  <c r="F84" i="43"/>
  <c r="F24" i="43"/>
  <c r="G267" i="43"/>
  <c r="G209" i="43"/>
  <c r="G151" i="43"/>
  <c r="G93" i="43"/>
  <c r="G33" i="43"/>
  <c r="AG49" i="17"/>
  <c r="J45" i="24"/>
  <c r="S44" i="24"/>
  <c r="F108" i="43"/>
  <c r="F166" i="43"/>
  <c r="F282" i="43"/>
  <c r="F224" i="43"/>
  <c r="J48" i="13"/>
  <c r="J48" i="15"/>
  <c r="K7" i="24"/>
  <c r="S7" i="24" s="1"/>
  <c r="S6" i="24"/>
  <c r="B34" i="30"/>
  <c r="K33" i="30"/>
  <c r="J7" i="11"/>
  <c r="S6" i="11"/>
  <c r="K8" i="15"/>
  <c r="S8" i="15" s="1"/>
  <c r="S7" i="15"/>
  <c r="J6" i="21"/>
  <c r="S5" i="21"/>
  <c r="S44" i="21"/>
  <c r="J45" i="21"/>
  <c r="S44" i="28"/>
  <c r="J45" i="28"/>
  <c r="S44" i="25"/>
  <c r="J45" i="25"/>
  <c r="J6" i="27"/>
  <c r="S5" i="27"/>
  <c r="G5" i="43"/>
  <c r="G258" i="43"/>
  <c r="G200" i="43"/>
  <c r="G84" i="43"/>
  <c r="G142" i="43"/>
  <c r="G2" i="43"/>
  <c r="F261" i="43"/>
  <c r="F203" i="43"/>
  <c r="F145" i="43"/>
  <c r="F87" i="43"/>
  <c r="F27" i="43"/>
  <c r="G270" i="43"/>
  <c r="G212" i="43"/>
  <c r="F273" i="43"/>
  <c r="F215" i="43"/>
  <c r="F157" i="43"/>
  <c r="F99" i="43"/>
  <c r="F39" i="43"/>
  <c r="AD44" i="14"/>
  <c r="AD43" i="15"/>
  <c r="F126" i="43"/>
  <c r="I9" i="45"/>
  <c r="I7" i="34"/>
  <c r="I26" i="35"/>
  <c r="I10" i="33"/>
  <c r="I25" i="30"/>
  <c r="H9" i="40"/>
  <c r="G282" i="43"/>
  <c r="G224" i="43"/>
  <c r="G166" i="43"/>
  <c r="G48" i="43"/>
  <c r="F285" i="43"/>
  <c r="F227" i="43"/>
  <c r="F169" i="43"/>
  <c r="F111" i="43"/>
  <c r="G294" i="43"/>
  <c r="G236" i="43"/>
  <c r="G178" i="43"/>
  <c r="G120" i="43"/>
  <c r="F297" i="43"/>
  <c r="F239" i="43"/>
  <c r="F181" i="43"/>
  <c r="F123" i="43"/>
  <c r="F63" i="43"/>
  <c r="G306" i="43"/>
  <c r="G248" i="43"/>
  <c r="G190" i="43"/>
  <c r="G72" i="43"/>
  <c r="G132" i="43"/>
  <c r="F309" i="43"/>
  <c r="F251" i="43"/>
  <c r="F193" i="43"/>
  <c r="F135" i="43"/>
  <c r="F75" i="43"/>
  <c r="S42" i="27"/>
  <c r="I10" i="32"/>
  <c r="G203" i="43"/>
  <c r="G87" i="43"/>
  <c r="G27" i="43"/>
  <c r="G145" i="43"/>
  <c r="G261" i="43"/>
  <c r="F90" i="43"/>
  <c r="F30" i="43"/>
  <c r="F148" i="43"/>
  <c r="F264" i="43"/>
  <c r="G273" i="43"/>
  <c r="G215" i="43"/>
  <c r="G39" i="43"/>
  <c r="G99" i="43"/>
  <c r="G157" i="43"/>
  <c r="F276" i="43"/>
  <c r="F218" i="43"/>
  <c r="F42" i="43"/>
  <c r="F102" i="43"/>
  <c r="F160" i="43"/>
  <c r="S45" i="14"/>
  <c r="I6" i="18"/>
  <c r="AC42" i="28"/>
  <c r="H14" i="31"/>
  <c r="G24" i="43"/>
  <c r="H16" i="31"/>
  <c r="H11" i="40"/>
  <c r="I12" i="32"/>
  <c r="I9" i="34"/>
  <c r="I11" i="45"/>
  <c r="L23" i="58"/>
  <c r="G24" i="58"/>
  <c r="G169" i="43"/>
  <c r="G285" i="43"/>
  <c r="G51" i="43"/>
  <c r="G227" i="43"/>
  <c r="G111" i="43"/>
  <c r="F288" i="43"/>
  <c r="F54" i="43"/>
  <c r="F230" i="43"/>
  <c r="F114" i="43"/>
  <c r="G123" i="43"/>
  <c r="G239" i="43"/>
  <c r="G181" i="43"/>
  <c r="G63" i="43"/>
  <c r="F300" i="43"/>
  <c r="F242" i="43"/>
  <c r="F184" i="43"/>
  <c r="G75" i="43"/>
  <c r="G135" i="43"/>
  <c r="G309" i="43"/>
  <c r="G251" i="43"/>
  <c r="G193" i="43"/>
  <c r="F312" i="43"/>
  <c r="F138" i="43"/>
  <c r="F254" i="43"/>
  <c r="F196" i="43"/>
  <c r="AD43" i="11"/>
  <c r="S43" i="14"/>
  <c r="S43" i="27"/>
  <c r="I44" i="27" s="1"/>
  <c r="K69" i="30"/>
  <c r="E70" i="30"/>
  <c r="K70" i="30" s="1"/>
  <c r="I48" i="38"/>
  <c r="H48" i="38" s="1"/>
  <c r="G154" i="43"/>
  <c r="G90" i="43"/>
  <c r="G30" i="43"/>
  <c r="O19" i="58"/>
  <c r="G148" i="43"/>
  <c r="G264" i="43"/>
  <c r="G206" i="43"/>
  <c r="F151" i="43"/>
  <c r="F267" i="43"/>
  <c r="F209" i="43"/>
  <c r="G218" i="43"/>
  <c r="G42" i="43"/>
  <c r="G102" i="43"/>
  <c r="G160" i="43"/>
  <c r="F221" i="43"/>
  <c r="F45" i="43"/>
  <c r="F105" i="43"/>
  <c r="F163" i="43"/>
  <c r="F279" i="43"/>
  <c r="AD43" i="14"/>
  <c r="AD43" i="16"/>
  <c r="AC41" i="25"/>
  <c r="AC43" i="27"/>
  <c r="I27" i="30"/>
  <c r="F33" i="43"/>
  <c r="F172" i="43"/>
  <c r="I36" i="38"/>
  <c r="H36" i="38" s="1"/>
  <c r="H15" i="38"/>
  <c r="G288" i="43"/>
  <c r="G54" i="43"/>
  <c r="G230" i="43"/>
  <c r="G114" i="43"/>
  <c r="G172" i="43"/>
  <c r="F291" i="43"/>
  <c r="F57" i="43"/>
  <c r="F233" i="43"/>
  <c r="F117" i="43"/>
  <c r="F175" i="43"/>
  <c r="G184" i="43"/>
  <c r="G66" i="43"/>
  <c r="G300" i="43"/>
  <c r="G126" i="43"/>
  <c r="F187" i="43"/>
  <c r="F69" i="43"/>
  <c r="F303" i="43"/>
  <c r="F129" i="43"/>
  <c r="F245" i="43"/>
  <c r="G138" i="43"/>
  <c r="G312" i="43"/>
  <c r="G254" i="43"/>
  <c r="G196" i="43"/>
  <c r="G78" i="43"/>
  <c r="S46" i="14"/>
  <c r="AD46" i="23"/>
  <c r="AD46" i="26"/>
  <c r="I12" i="33"/>
  <c r="G36" i="43"/>
  <c r="F93" i="43"/>
  <c r="G276" i="43"/>
  <c r="L23" i="59"/>
  <c r="G24" i="60"/>
  <c r="L23" i="60"/>
  <c r="L24" i="59"/>
  <c r="E31" i="56"/>
  <c r="C31" i="56" s="1"/>
  <c r="D4" i="8" s="1"/>
  <c r="E3" i="56"/>
  <c r="C3" i="56" s="1"/>
  <c r="D5" i="40" s="1"/>
  <c r="E32" i="56"/>
  <c r="C32" i="56" s="1"/>
  <c r="AA12" i="57"/>
  <c r="N12" i="57" s="1"/>
  <c r="I16" i="40" s="1"/>
  <c r="AA15" i="57"/>
  <c r="N15" i="57" s="1"/>
  <c r="I19" i="40" s="1"/>
  <c r="H31" i="30" l="1"/>
  <c r="H136" i="30" s="1"/>
  <c r="I31" i="30"/>
  <c r="I136" i="30" s="1"/>
  <c r="K7" i="22"/>
  <c r="S7" i="22" s="1"/>
  <c r="S6" i="22"/>
  <c r="U8" i="17"/>
  <c r="L9" i="17"/>
  <c r="U9" i="17" s="1"/>
  <c r="F5" i="39"/>
  <c r="F5" i="38"/>
  <c r="F5" i="37"/>
  <c r="F5" i="36"/>
  <c r="I58" i="38"/>
  <c r="H58" i="38" s="1"/>
  <c r="L24" i="58"/>
  <c r="H25" i="58"/>
  <c r="L25" i="58" s="1"/>
  <c r="K7" i="27"/>
  <c r="S7" i="27" s="1"/>
  <c r="S6" i="27"/>
  <c r="S6" i="21"/>
  <c r="K7" i="21"/>
  <c r="S7" i="21" s="1"/>
  <c r="S45" i="24"/>
  <c r="K46" i="24"/>
  <c r="S46" i="24" s="1"/>
  <c r="K8" i="12"/>
  <c r="S8" i="12" s="1"/>
  <c r="S7" i="12"/>
  <c r="K7" i="25"/>
  <c r="S7" i="25" s="1"/>
  <c r="S6" i="25"/>
  <c r="K46" i="20"/>
  <c r="S46" i="20" s="1"/>
  <c r="S45" i="20"/>
  <c r="S45" i="19"/>
  <c r="K46" i="19"/>
  <c r="S46" i="19" s="1"/>
  <c r="K46" i="25"/>
  <c r="S46" i="25" s="1"/>
  <c r="S45" i="25"/>
  <c r="K49" i="15"/>
  <c r="S49" i="15" s="1"/>
  <c r="S48" i="15"/>
  <c r="S7" i="11"/>
  <c r="K8" i="11"/>
  <c r="S8" i="11" s="1"/>
  <c r="K46" i="21"/>
  <c r="S46" i="21" s="1"/>
  <c r="S45" i="21"/>
  <c r="K49" i="11"/>
  <c r="S49" i="11" s="1"/>
  <c r="S48" i="11"/>
  <c r="K49" i="13"/>
  <c r="S49" i="13" s="1"/>
  <c r="S48" i="13"/>
  <c r="D42" i="7"/>
  <c r="D43" i="7" s="1"/>
  <c r="D44" i="7" s="1"/>
  <c r="D40" i="7"/>
  <c r="D39" i="7"/>
  <c r="K49" i="16"/>
  <c r="S49" i="16" s="1"/>
  <c r="S48" i="16"/>
  <c r="S6" i="19"/>
  <c r="K7" i="19"/>
  <c r="S7" i="19" s="1"/>
  <c r="L24" i="60"/>
  <c r="H25" i="60"/>
  <c r="L25" i="60" s="1"/>
  <c r="J48" i="14"/>
  <c r="I47" i="14"/>
  <c r="J45" i="27"/>
  <c r="S44" i="27"/>
  <c r="K46" i="28"/>
  <c r="S46" i="28" s="1"/>
  <c r="S45" i="28"/>
  <c r="S6" i="20"/>
  <c r="K7" i="20"/>
  <c r="S7" i="20" s="1"/>
  <c r="U55" i="17"/>
  <c r="L56" i="17"/>
  <c r="U56" i="17" s="1"/>
  <c r="K49" i="14" l="1"/>
  <c r="S49" i="14" s="1"/>
  <c r="S48" i="14"/>
  <c r="D47" i="7"/>
  <c r="D46" i="7"/>
  <c r="D45" i="7"/>
  <c r="D50" i="7"/>
  <c r="D48" i="7"/>
  <c r="K46" i="27"/>
  <c r="S46" i="27" s="1"/>
  <c r="S4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31" authorId="0" shapeId="0" xr:uid="{00000000-0006-0000-0100-000001000000}">
      <text>
        <r>
          <rPr>
            <sz val="9"/>
            <color indexed="81"/>
            <rFont val="Tahoma"/>
            <family val="2"/>
          </rPr>
          <t>Выбор организации двойным щелчком левой клавиши мыши</t>
        </r>
      </text>
    </comment>
    <comment ref="E37" authorId="0" shapeId="0" xr:uid="{00000000-0006-0000-0100-000002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600-000001000000}">
      <text>
        <r>
          <rPr>
            <sz val="9"/>
            <color indexed="81"/>
            <rFont val="Tahoma"/>
            <family val="2"/>
          </rPr>
          <t>Тип организации</t>
        </r>
      </text>
    </comment>
    <comment ref="L6" authorId="0" shapeId="0" xr:uid="{00000000-0006-0000-36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800-000001000000}">
      <text>
        <r>
          <rPr>
            <sz val="9"/>
            <color indexed="81"/>
            <rFont val="Arial"/>
            <family val="2"/>
          </rPr>
          <t>сюда же для некоторых формул может входить:
- VOTV
- HOTVSNA</t>
        </r>
      </text>
    </comment>
    <comment ref="U2" authorId="0" shapeId="0" xr:uid="{00000000-0006-0000-38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<sst xmlns="http://schemas.openxmlformats.org/spreadsheetml/2006/main" count="26320" uniqueCount="5801">
  <si>
    <t xml:space="preserve"> (требуется обновление)</t>
  </si>
  <si>
    <t>Код отчёта: PP108.OPEN.INFO.PRICE.COLDVSNA.EIAS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</si>
  <si>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</si>
  <si>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</si>
  <si>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</si>
  <si>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</si>
  <si>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</si>
  <si>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</si>
  <si>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</si>
  <si>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</si>
  <si>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</si>
  <si>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</si>
  <si>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</si>
  <si>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</si>
  <si>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Красноярский край</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</si>
  <si>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</si>
  <si>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</si>
  <si>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</si>
  <si>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</si>
  <si>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</si>
  <si>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</si>
  <si>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</si>
  <si>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</si>
  <si>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</si>
  <si>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</si>
  <si>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</si>
  <si>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</si>
  <si>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</si>
  <si>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</si>
  <si>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</si>
  <si>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</si>
  <si>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</si>
  <si>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</si>
  <si>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</si>
  <si>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</si>
  <si>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</si>
  <si>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</si>
  <si>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827-в</t>
  </si>
  <si>
    <t>Наименование органа регулирования, принявшего решение об утверждении тарифов</t>
  </si>
  <si>
    <t>Министерство тарифной политики Красноярского края</t>
  </si>
  <si>
    <t>Источник официального опубликования решения</t>
  </si>
  <si>
    <t>Официальный интернет-портал правовой информации Красноярского края (http://www.zakon.krskstate.ru/)</t>
  </si>
  <si>
    <t>Открывается, если Тип отчёта "изменения в раскрытой ранее информации"</t>
  </si>
  <si>
    <t>924-в</t>
  </si>
  <si>
    <t>Наименование органа регулирования, принявшего решение об изменении тарифов</t>
  </si>
  <si>
    <t>Наименование ЮЛ / ИП</t>
  </si>
  <si>
    <t>ПАО "Юнипро"</t>
  </si>
  <si>
    <t>Наименование (описание) обособленного подразделения</t>
  </si>
  <si>
    <t>ИНН</t>
  </si>
  <si>
    <t>8602067092</t>
  </si>
  <si>
    <t>КПП</t>
  </si>
  <si>
    <t>245902002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</si>
  <si>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</si>
  <si>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</si>
  <si>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</si>
  <si>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</si>
  <si>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</si>
  <si>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</si>
  <si>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</si>
  <si>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</si>
  <si>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</si>
  <si>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</si>
  <si>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</si>
  <si>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</si>
  <si>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</si>
  <si>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</si>
  <si>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</si>
  <si>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</si>
  <si>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</si>
  <si>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</si>
  <si>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662313, Красноярский край, г. Шарыпово,а/я 6-3/36</t>
  </si>
  <si>
    <t>Фамилия, имя, отчество руководителя</t>
  </si>
  <si>
    <t>Казарин Дмитрий Иванович</t>
  </si>
  <si>
    <t>Ответственный за заполнение формы</t>
  </si>
  <si>
    <t>Фамилия, имя, отчество</t>
  </si>
  <si>
    <t>Котляревский Георгий Александрович</t>
  </si>
  <si>
    <t>Должность</t>
  </si>
  <si>
    <t>начальник ПЭО</t>
  </si>
  <si>
    <t>Контактный телефон</t>
  </si>
  <si>
    <t>8 (39153) 71-398</t>
  </si>
  <si>
    <t>E-mail</t>
  </si>
  <si>
    <t>Kotlyarevskiy_G@unipro.energy</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</si>
  <si>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</si>
  <si>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</si>
  <si>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</si>
  <si>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</si>
  <si>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</si>
  <si>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</si>
  <si>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</si>
  <si>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</si>
  <si>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</si>
  <si>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</si>
  <si>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</si>
  <si>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</si>
  <si>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</si>
  <si>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</si>
  <si>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</si>
  <si>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</si>
  <si>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556</t>
  </si>
  <si>
    <t>Шарыповский муниципальный округ</t>
  </si>
  <si>
    <t>04558000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</si>
  <si>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</si>
  <si>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</si>
  <si>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</si>
  <si>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</si>
  <si>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</si>
  <si>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</si>
  <si>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</si>
  <si>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</si>
  <si>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</si>
  <si>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</si>
  <si>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</si>
  <si>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</si>
  <si>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</si>
  <si>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</si>
  <si>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</si>
  <si>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</si>
  <si>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</si>
  <si>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</si>
  <si>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</si>
  <si>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</si>
  <si>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</si>
  <si>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</si>
  <si>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</si>
  <si>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</si>
  <si>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</si>
  <si>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</si>
  <si>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</si>
  <si>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</si>
  <si>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</si>
  <si>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</si>
  <si>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</si>
  <si>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</si>
  <si>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</si>
  <si>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</si>
  <si>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</si>
  <si>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</si>
  <si>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</si>
  <si>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</si>
  <si>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</si>
  <si>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</si>
  <si>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</si>
  <si>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</si>
  <si>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</si>
  <si>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</si>
  <si>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</si>
  <si>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</si>
  <si>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</si>
  <si>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</si>
  <si>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</si>
  <si>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</si>
  <si>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</si>
  <si>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</si>
  <si>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</si>
  <si>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</si>
  <si>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</si>
  <si>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</si>
  <si>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</si>
  <si>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</si>
  <si>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</si>
  <si>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</si>
  <si>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</si>
  <si>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</si>
  <si>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</si>
  <si>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</si>
  <si>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</si>
  <si>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</si>
  <si>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</si>
  <si>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</si>
  <si>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</si>
  <si>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</si>
  <si>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</si>
  <si>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</si>
  <si>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</si>
  <si>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</si>
  <si>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</si>
  <si>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</si>
  <si>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</si>
  <si>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</si>
  <si>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</si>
  <si>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</si>
  <si>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</si>
  <si>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</si>
  <si>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</si>
  <si>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</si>
  <si>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</si>
  <si>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</si>
  <si>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</si>
  <si>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</si>
  <si>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</si>
  <si>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</si>
  <si>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</si>
  <si>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</si>
  <si>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</si>
  <si>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</si>
  <si>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</si>
  <si>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</si>
  <si>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</si>
  <si>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</si>
  <si>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</si>
  <si>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</si>
  <si>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</si>
  <si>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</si>
  <si>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</si>
  <si>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</si>
  <si>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</si>
  <si>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</si>
  <si>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</si>
  <si>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</si>
  <si>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</si>
  <si>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</si>
  <si>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</si>
  <si>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</si>
  <si>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</si>
  <si>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</si>
  <si>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</si>
  <si>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</si>
  <si>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</si>
  <si>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</si>
  <si>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</si>
  <si>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</si>
  <si>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</si>
  <si>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</si>
  <si>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</si>
  <si>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</si>
  <si>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</si>
  <si>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</si>
  <si>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</si>
  <si>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</si>
  <si>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</si>
  <si>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</si>
  <si>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</si>
  <si>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</si>
  <si>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</si>
  <si>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</si>
  <si>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</si>
  <si>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</si>
  <si>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</si>
  <si>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</si>
  <si>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</si>
  <si>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</si>
  <si>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</si>
  <si>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</si>
  <si>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</si>
  <si>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</si>
  <si>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</si>
  <si>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</si>
  <si>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</si>
  <si>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</si>
  <si>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</si>
  <si>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</si>
  <si>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</si>
  <si>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</si>
  <si>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</si>
  <si>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</si>
  <si>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</si>
  <si>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</si>
  <si>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</si>
  <si>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</si>
  <si>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</si>
  <si>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</si>
  <si>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</si>
  <si>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</si>
  <si>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</si>
  <si>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</si>
  <si>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</si>
  <si>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</si>
  <si>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</si>
  <si>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</si>
  <si>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</si>
  <si>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</si>
  <si>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</si>
  <si>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</si>
  <si>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</si>
  <si>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</si>
  <si>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</si>
  <si>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</si>
  <si>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</si>
  <si>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</si>
  <si>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</si>
  <si>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</si>
  <si>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</si>
  <si>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</si>
  <si>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</si>
  <si>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</si>
  <si>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</si>
  <si>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</si>
  <si>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</si>
  <si>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</si>
  <si>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</si>
  <si>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</si>
  <si>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</si>
  <si>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</si>
  <si>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</si>
  <si>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</si>
  <si>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</si>
  <si>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</si>
  <si>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</si>
  <si>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</si>
  <si>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</si>
  <si>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</si>
  <si>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</si>
  <si>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</si>
  <si>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</si>
  <si>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</si>
  <si>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</si>
  <si>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</si>
  <si>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</si>
  <si>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</si>
  <si>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</si>
  <si>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</si>
  <si>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</si>
  <si>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</si>
  <si>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</si>
  <si>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</si>
  <si>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</si>
  <si>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</si>
  <si>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</si>
  <si>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</si>
  <si>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</si>
  <si>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</si>
  <si>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</si>
  <si>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</si>
  <si>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</si>
  <si>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</si>
  <si>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</si>
  <si>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</si>
  <si>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</si>
  <si>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</si>
  <si>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</si>
  <si>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</si>
  <si>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</si>
  <si>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</si>
  <si>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</si>
  <si>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</si>
  <si>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</si>
  <si>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</si>
  <si>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</si>
  <si>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</si>
  <si>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</si>
  <si>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</si>
  <si>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</si>
  <si>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</si>
  <si>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</si>
  <si>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</si>
  <si>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</si>
  <si>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</si>
  <si>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</si>
  <si>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</si>
  <si>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</si>
  <si>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</si>
  <si>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</si>
  <si>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</si>
  <si>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</si>
  <si>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</si>
  <si>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</si>
  <si>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</si>
  <si>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</si>
  <si>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</si>
  <si>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</si>
  <si>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</si>
  <si>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</si>
  <si>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</si>
  <si>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</si>
  <si>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</si>
  <si>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</si>
  <si>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</si>
  <si>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</si>
  <si>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</si>
  <si>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</si>
  <si>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</si>
  <si>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</si>
  <si>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</si>
  <si>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</si>
  <si>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</si>
  <si>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</si>
  <si>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</si>
  <si>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</si>
  <si>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</si>
  <si>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</si>
  <si>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</si>
  <si>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</si>
  <si>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</si>
  <si>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</si>
  <si>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</si>
  <si>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</si>
  <si>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</si>
  <si>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</si>
  <si>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</si>
  <si>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</si>
  <si>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</si>
  <si>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</si>
  <si>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</si>
  <si>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</si>
  <si>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</si>
  <si>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</si>
  <si>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</si>
  <si>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</si>
  <si>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</si>
  <si>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</si>
  <si>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</si>
  <si>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</si>
  <si>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</si>
  <si>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</si>
  <si>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</si>
  <si>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</si>
  <si>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</si>
  <si>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</si>
  <si>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</si>
  <si>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</si>
  <si>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</si>
  <si>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</si>
  <si>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</si>
  <si>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</si>
  <si>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</si>
  <si>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</si>
  <si>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</si>
  <si>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</si>
  <si>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</si>
  <si>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</si>
  <si>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</si>
  <si>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</si>
  <si>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</si>
  <si>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</si>
  <si>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</si>
  <si>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</si>
  <si>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</si>
  <si>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</si>
  <si>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</si>
  <si>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</si>
  <si>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</si>
  <si>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</si>
  <si>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</si>
  <si>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</si>
  <si>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</si>
  <si>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</si>
  <si>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</si>
  <si>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</si>
  <si>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</si>
  <si>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</si>
  <si>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</si>
  <si>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</si>
  <si>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</si>
  <si>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</si>
  <si>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</si>
  <si>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</si>
  <si>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</si>
  <si>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</si>
  <si>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</si>
  <si>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</si>
  <si>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</si>
  <si>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</si>
  <si>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</si>
  <si>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</si>
  <si>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</si>
  <si>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</si>
  <si>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</si>
  <si>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</si>
  <si>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</si>
  <si>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</si>
  <si>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</si>
  <si>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</si>
  <si>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</si>
  <si>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</si>
  <si>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</si>
  <si>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</si>
  <si>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</si>
  <si>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</si>
  <si>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</si>
  <si>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</si>
  <si>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</si>
  <si>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</si>
  <si>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</si>
  <si>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</si>
  <si>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</si>
  <si>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</si>
  <si>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</si>
  <si>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</si>
  <si>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</si>
  <si>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</si>
  <si>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</si>
  <si>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</si>
  <si>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</si>
  <si>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</si>
  <si>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</si>
  <si>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нет дифференциации</t>
  </si>
  <si>
    <t>прочие</t>
  </si>
  <si>
    <t>прочие потребители (без учета НДС)</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</si>
  <si>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</si>
  <si>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</si>
  <si>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</si>
  <si>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</si>
  <si>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</si>
  <si>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</si>
  <si>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</si>
  <si>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</si>
  <si>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</si>
  <si>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</si>
  <si>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</si>
  <si>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</si>
  <si>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</si>
  <si>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</si>
  <si>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</si>
  <si>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</si>
  <si>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</si>
  <si>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</si>
  <si>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</si>
  <si>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</si>
  <si>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</si>
  <si>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</si>
  <si>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</si>
  <si>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</si>
  <si>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</si>
  <si>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</si>
  <si>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</si>
  <si>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</si>
  <si>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</si>
  <si>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</si>
  <si>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</si>
  <si>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</si>
  <si>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</si>
  <si>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</si>
  <si>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</si>
  <si>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</si>
  <si>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</si>
  <si>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</si>
  <si>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</si>
  <si>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</si>
  <si>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</si>
  <si>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</si>
  <si>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</si>
  <si>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</si>
  <si>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</si>
  <si>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</si>
  <si>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</si>
  <si>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</si>
  <si>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</si>
  <si>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</si>
  <si>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</si>
  <si>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</si>
  <si>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</si>
  <si>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</si>
  <si>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</si>
  <si>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</si>
  <si>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</si>
  <si>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</si>
  <si>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</si>
  <si>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</si>
  <si>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</si>
  <si>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</si>
  <si>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</si>
  <si>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</si>
  <si>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</si>
  <si>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</si>
  <si>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</si>
  <si>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</si>
  <si>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</si>
  <si>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</si>
  <si>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</si>
  <si>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</si>
  <si>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</si>
  <si>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</si>
  <si>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</si>
  <si>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</si>
  <si>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</si>
  <si>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</si>
  <si>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</si>
  <si>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</si>
  <si>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</si>
  <si>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</si>
  <si>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</si>
  <si>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</si>
  <si>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</si>
  <si>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</si>
  <si>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</si>
  <si>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</si>
  <si>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</si>
  <si>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</si>
  <si>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</si>
  <si>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</si>
  <si>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</si>
  <si>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</si>
  <si>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</si>
  <si>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</si>
  <si>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</si>
  <si>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</si>
  <si>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</si>
  <si>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</si>
  <si>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</si>
  <si>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</si>
  <si>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</si>
  <si>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</si>
  <si>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</si>
  <si>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</si>
  <si>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</si>
  <si>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</si>
  <si>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</si>
  <si>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</si>
  <si>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</si>
  <si>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</si>
  <si>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</si>
  <si>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</si>
  <si>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</si>
  <si>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</si>
  <si>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</si>
  <si>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</si>
  <si>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</si>
  <si>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</si>
  <si>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</si>
  <si>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</si>
  <si>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</si>
  <si>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</si>
  <si>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</si>
  <si>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</si>
  <si>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</si>
  <si>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</si>
  <si>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</si>
  <si>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</si>
  <si>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</si>
  <si>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</si>
  <si>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</si>
  <si>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</si>
  <si>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</si>
  <si>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</si>
  <si>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</si>
  <si>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</si>
  <si>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</si>
  <si>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</si>
  <si>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</si>
  <si>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</si>
  <si>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</si>
  <si>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</si>
  <si>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</si>
  <si>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</si>
  <si>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</si>
  <si>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</si>
  <si>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</si>
  <si>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</si>
  <si>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</si>
  <si>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</si>
  <si>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</si>
  <si>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</si>
  <si>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</si>
  <si>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</si>
  <si>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</si>
  <si>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</si>
  <si>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</si>
  <si>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</si>
  <si>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</si>
  <si>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</si>
  <si>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</si>
  <si>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</si>
  <si>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</si>
  <si>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</si>
  <si>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</si>
  <si>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</si>
  <si>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</si>
  <si>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</si>
  <si>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</si>
  <si>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</si>
  <si>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</si>
  <si>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</si>
  <si>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</si>
  <si>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</si>
  <si>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</si>
  <si>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</si>
  <si>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</si>
  <si>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</si>
  <si>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</si>
  <si>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</si>
  <si>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</si>
  <si>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</si>
  <si>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</si>
  <si>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</si>
  <si>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</si>
  <si>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</si>
  <si>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</si>
  <si>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</si>
  <si>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</si>
  <si>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</si>
  <si>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</si>
  <si>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</si>
  <si>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</si>
  <si>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</si>
  <si>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</si>
  <si>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</si>
  <si>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</si>
  <si>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</si>
  <si>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</si>
  <si>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</si>
  <si>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</si>
  <si>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</si>
  <si>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</si>
  <si>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</si>
  <si>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</si>
  <si>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</si>
  <si>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</si>
  <si>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</si>
  <si>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</si>
  <si>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</si>
  <si>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</si>
  <si>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</si>
  <si>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</si>
  <si>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</si>
  <si>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</si>
  <si>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</si>
  <si>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</si>
  <si>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</si>
  <si>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</si>
  <si>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</si>
  <si>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</si>
  <si>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</si>
  <si>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</si>
  <si>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</si>
  <si>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</si>
  <si>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</si>
  <si>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</si>
  <si>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</si>
  <si>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</si>
  <si>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</si>
  <si>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</si>
  <si>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</si>
  <si>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</si>
  <si>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</si>
  <si>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</si>
  <si>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</si>
  <si>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</si>
  <si>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</si>
  <si>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</si>
  <si>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</si>
  <si>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</si>
  <si>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</si>
  <si>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</si>
  <si>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</si>
  <si>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</si>
  <si>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</si>
  <si>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</si>
  <si>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</si>
  <si>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</si>
  <si>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</si>
  <si>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</si>
  <si>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</si>
  <si>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</si>
  <si>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</si>
  <si>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</si>
  <si>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</si>
  <si>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</si>
  <si>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</si>
  <si>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</si>
  <si>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</si>
  <si>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</si>
  <si>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</si>
  <si>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</si>
  <si>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</si>
  <si>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</si>
  <si>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</si>
  <si>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</si>
  <si>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</si>
  <si>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</si>
  <si>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</si>
  <si>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</si>
  <si>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</si>
  <si>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</si>
  <si>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</si>
  <si>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</si>
  <si>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</si>
  <si>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</si>
  <si>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</si>
  <si>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</si>
  <si>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</si>
  <si>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</si>
  <si>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</si>
  <si>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</si>
  <si>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</si>
  <si>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</si>
  <si>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</si>
  <si>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</si>
  <si>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</si>
  <si>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</si>
  <si>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</si>
  <si>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</si>
  <si>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</si>
  <si>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</si>
  <si>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</si>
  <si>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</si>
  <si>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</si>
  <si>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</si>
  <si>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</si>
  <si>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</si>
  <si>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</si>
  <si>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</si>
  <si>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</si>
  <si>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</si>
  <si>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</si>
  <si>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</si>
  <si>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</si>
  <si>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</si>
  <si>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</si>
  <si>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</si>
  <si>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</si>
  <si>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</si>
  <si>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</si>
  <si>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</si>
  <si>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</si>
  <si>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</si>
  <si>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</si>
  <si>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</si>
  <si>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</si>
  <si>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</si>
  <si>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</si>
  <si>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</si>
  <si>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</si>
  <si>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</si>
  <si>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</si>
  <si>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</si>
  <si>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</si>
  <si>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</si>
  <si>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</si>
  <si>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</si>
  <si>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</si>
  <si>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</si>
  <si>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</si>
  <si>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</si>
  <si>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</si>
  <si>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</si>
  <si>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</si>
  <si>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</si>
  <si>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</si>
  <si>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</si>
  <si>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</si>
  <si>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</si>
  <si>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</si>
  <si>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</si>
  <si>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</si>
  <si>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</si>
  <si>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</si>
  <si>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</si>
  <si>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</si>
  <si>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</si>
  <si>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</si>
  <si>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</si>
  <si>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</si>
  <si>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</si>
  <si>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</si>
  <si>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</si>
  <si>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</si>
  <si>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</si>
  <si>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</si>
  <si>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</si>
  <si>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</si>
  <si>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</si>
  <si>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</si>
  <si>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</si>
  <si>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</si>
  <si>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</si>
  <si>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</si>
  <si>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</si>
  <si>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</si>
  <si>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</si>
  <si>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</si>
  <si>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</si>
  <si>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</si>
  <si>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</si>
  <si>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</si>
  <si>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</si>
  <si>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</si>
  <si>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</si>
  <si>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</si>
  <si>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</si>
  <si>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</si>
  <si>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</si>
  <si>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</si>
  <si>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</si>
  <si>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</si>
  <si>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</si>
  <si>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</si>
  <si>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</si>
  <si>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</si>
  <si>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</si>
  <si>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</si>
  <si>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</si>
  <si>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</si>
  <si>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</si>
  <si>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</si>
  <si>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</si>
  <si>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</si>
  <si>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</si>
  <si>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</si>
  <si>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</si>
  <si>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</si>
  <si>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</si>
  <si>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</si>
  <si>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</si>
  <si>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</si>
  <si>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</si>
  <si>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</si>
  <si>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</si>
  <si>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</si>
  <si>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</si>
  <si>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</si>
  <si>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</si>
  <si>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</si>
  <si>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</si>
  <si>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</si>
  <si>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</si>
  <si>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</si>
  <si>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</si>
  <si>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</si>
  <si>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</si>
  <si>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</si>
  <si>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</si>
  <si>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</si>
  <si>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</si>
  <si>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</si>
  <si>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</si>
  <si>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</si>
  <si>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</si>
  <si>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</si>
  <si>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</si>
  <si>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</si>
  <si>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</si>
  <si>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</si>
  <si>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</si>
  <si>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</si>
  <si>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</si>
  <si>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</si>
  <si>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</si>
  <si>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</si>
  <si>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</si>
  <si>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</si>
  <si>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</si>
  <si>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</si>
  <si>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</si>
  <si>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</si>
  <si>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</si>
  <si>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</si>
  <si>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</si>
  <si>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</si>
  <si>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</si>
  <si>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</si>
  <si>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</si>
  <si>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</si>
  <si>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</si>
  <si>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</si>
  <si>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</si>
  <si>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</si>
  <si>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</si>
  <si>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</si>
  <si>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</si>
  <si>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</si>
  <si>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</si>
  <si>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</si>
  <si>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</si>
  <si>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</si>
  <si>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</si>
  <si>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</si>
  <si>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</si>
  <si>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</si>
  <si>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</si>
  <si>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</si>
  <si>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</si>
  <si>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</si>
  <si>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</si>
  <si>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</si>
  <si>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</si>
  <si>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</si>
  <si>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</si>
  <si>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</si>
  <si>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</si>
  <si>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</si>
  <si>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</si>
  <si>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</si>
  <si>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</si>
  <si>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</si>
  <si>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</si>
  <si>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</si>
  <si>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</si>
  <si>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</si>
  <si>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</si>
  <si>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</si>
  <si>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</si>
  <si>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</si>
  <si>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</si>
  <si>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</si>
  <si>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</si>
  <si>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</si>
  <si>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</si>
  <si>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</si>
  <si>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</si>
  <si>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</si>
  <si>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</si>
  <si>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</si>
  <si>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</si>
  <si>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</si>
  <si>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</si>
  <si>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</si>
  <si>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</si>
  <si>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</si>
  <si>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</si>
  <si>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</si>
  <si>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</si>
  <si>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</si>
  <si>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</si>
  <si>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</si>
  <si>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</si>
  <si>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</si>
  <si>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</si>
  <si>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</si>
  <si>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</si>
  <si>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</si>
  <si>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</si>
  <si>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</si>
  <si>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</si>
  <si>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</si>
  <si>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</si>
  <si>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</si>
  <si>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</si>
  <si>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</si>
  <si>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</si>
  <si>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</si>
  <si>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</si>
  <si>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</si>
  <si>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</si>
  <si>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</si>
  <si>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</si>
  <si>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</si>
  <si>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</si>
  <si>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</si>
  <si>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</si>
  <si>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</si>
  <si>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</si>
  <si>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</si>
  <si>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</si>
  <si>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</si>
  <si>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</si>
  <si>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https://www.unipro.energy/activities/tariff/warm/berezovskaya/2024/</t>
  </si>
  <si>
    <t>https://portal.eias.ru/Portal/DownloadPage.aspx?type=12&amp;guid=799461a6-affa-4fcd-a386-0e53059fa1ce</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</si>
  <si>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</si>
  <si>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https://portal.eias.ru/Portal/DownloadPage.aspx?type=12&amp;guid=d6480712-7565-4ce5-86ff-f9669d102fbd</t>
  </si>
  <si>
    <t>Перечень документов, представляемых одновременно с заявкой о подключении к системам  холодного водоcнабжения</t>
  </si>
  <si>
    <t>https://portal.eias.ru/Portal/DownloadPage.aspx?type=12&amp;guid=6e6ad581-5d29-4fd5-9bf2-8e9c03ff874a</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</si>
  <si>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</si>
  <si>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Постановление Правительства РФ от 29.07.2013 N 644 "Об утверждении Правил холодного водоснабжения и водоотведения и о внесении изменений в некоторые акты Правительства Российской Федерации"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</si>
  <si>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</si>
  <si>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30.11.2021 N 2130 "Об утверждении Правил подключения (технологического присоединения)объектов капитального строительства к централизованным системам горячего водоснабжения,холодного водснабжения  и (или) водоотведения"</t>
  </si>
  <si>
    <t>ФЗ от 07.12.2011 № 416-ФЗ  "О водоснабжении и водоотведении"</t>
  </si>
  <si>
    <t>5.1.1</t>
  </si>
  <si>
    <t>8 (39153)71-0-39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</si>
  <si>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</si>
  <si>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</si>
  <si>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(39153)71-0-81</t>
  </si>
  <si>
    <t>5.2.1</t>
  </si>
  <si>
    <t>Красноярский край, Шарыповский район, с. Холмогорское, промбаза «Энергетиков», строение 1/15.</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</si>
  <si>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</si>
  <si>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</si>
  <si>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</si>
  <si>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</si>
  <si>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</si>
  <si>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</si>
  <si>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</si>
  <si>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</si>
  <si>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</si>
  <si>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</si>
  <si>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</si>
  <si>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</si>
  <si>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</si>
  <si>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</si>
  <si>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</si>
  <si>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</si>
  <si>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</si>
  <si>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</si>
  <si>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</si>
  <si>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</si>
  <si>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</si>
  <si>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</si>
  <si>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</si>
  <si>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</si>
  <si>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</si>
  <si>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</si>
  <si>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</si>
  <si>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</si>
  <si>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</si>
  <si>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</si>
  <si>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</si>
  <si>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</si>
  <si>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тарифов на 2024 год. Долгосрочный период регулирования по оказанию услуг водоснабжения на 2023-2027 гг.</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</si>
  <si>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</si>
  <si>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</si>
  <si>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</si>
  <si>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</si>
  <si>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</si>
  <si>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</si>
  <si>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</si>
  <si>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</si>
  <si>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</si>
  <si>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</si>
  <si>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</si>
  <si>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</si>
  <si>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</si>
  <si>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</si>
  <si>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</si>
  <si>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</si>
  <si>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</si>
  <si>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</si>
  <si>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</si>
  <si>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</si>
  <si>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</si>
  <si>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</si>
  <si>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</si>
  <si>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</si>
  <si>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</si>
  <si>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</si>
  <si>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</si>
  <si>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</si>
  <si>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</si>
  <si>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</si>
  <si>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</si>
  <si>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</si>
  <si>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</si>
  <si>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</si>
  <si>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</si>
  <si>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</si>
  <si>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</si>
  <si>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</si>
  <si>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</si>
  <si>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</si>
  <si>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</si>
  <si>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</si>
  <si>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</si>
  <si>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</si>
  <si>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</si>
  <si>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</si>
  <si>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</si>
  <si>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</si>
  <si>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</si>
  <si>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</si>
  <si>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</si>
  <si>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</si>
  <si>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</si>
  <si>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</si>
  <si>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</si>
  <si>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</si>
  <si>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</si>
  <si>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</si>
  <si>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</si>
  <si>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</si>
  <si>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</si>
  <si>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</si>
  <si>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</si>
  <si>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</si>
  <si>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</si>
  <si>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</si>
  <si>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</si>
  <si>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</si>
  <si>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</si>
  <si>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</si>
  <si>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</si>
  <si>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</si>
  <si>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</si>
  <si>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</si>
  <si>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</si>
  <si>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</si>
  <si>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</si>
  <si>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</si>
  <si>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</si>
  <si>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</si>
  <si>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</si>
  <si>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</si>
  <si>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</si>
  <si>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</si>
  <si>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</si>
  <si>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</si>
  <si>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</si>
  <si>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</si>
  <si>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</si>
  <si>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</si>
  <si>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</si>
  <si>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</si>
  <si>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</si>
  <si>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</si>
  <si>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</si>
  <si>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</si>
  <si>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</si>
  <si>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</si>
  <si>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</si>
  <si>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</si>
  <si>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</si>
  <si>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</si>
  <si>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</si>
  <si>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</si>
  <si>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</si>
  <si>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</si>
  <si>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</si>
  <si>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</si>
  <si>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</si>
  <si>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</si>
  <si>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</si>
  <si>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</si>
  <si>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</si>
  <si>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</si>
  <si>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</si>
  <si>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</si>
  <si>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</si>
  <si>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</si>
  <si>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</si>
  <si>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</si>
  <si>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</si>
  <si>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</si>
  <si>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</si>
  <si>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</si>
  <si>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</si>
  <si>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</si>
  <si>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</si>
  <si>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</si>
  <si>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</si>
  <si>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</si>
  <si>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</si>
  <si>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</si>
  <si>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</si>
  <si>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</si>
  <si>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</si>
  <si>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</si>
  <si>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</si>
  <si>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</si>
  <si>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</si>
  <si>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</si>
  <si>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</si>
  <si>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</si>
  <si>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</si>
  <si>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</si>
  <si>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</si>
  <si>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</si>
  <si>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</si>
  <si>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</si>
  <si>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</si>
  <si>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</si>
  <si>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</si>
  <si>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</si>
  <si>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</si>
  <si>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</si>
  <si>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</si>
  <si>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</si>
  <si>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</si>
  <si>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</si>
  <si>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</si>
  <si>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</si>
  <si>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</si>
  <si>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</si>
  <si>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</si>
  <si>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</si>
  <si>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</si>
  <si>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</si>
  <si>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</si>
  <si>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</si>
  <si>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</si>
  <si>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</si>
  <si>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</si>
  <si>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</si>
  <si>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</si>
  <si>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</si>
  <si>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</si>
  <si>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</si>
  <si>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</si>
  <si>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</si>
  <si>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</si>
  <si>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</si>
  <si>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</si>
  <si>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</si>
  <si>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</si>
  <si>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</si>
  <si>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</si>
  <si>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</si>
  <si>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</si>
  <si>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</si>
  <si>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</si>
  <si>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</si>
  <si>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</si>
  <si>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</si>
  <si>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</si>
  <si>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</si>
  <si>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</si>
  <si>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</si>
  <si>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</si>
  <si>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</si>
  <si>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</si>
  <si>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</si>
  <si>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</si>
  <si>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</si>
  <si>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</si>
  <si>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</si>
  <si>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</si>
  <si>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</si>
  <si>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</si>
  <si>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</si>
  <si>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</si>
  <si>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</si>
  <si>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</si>
  <si>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</si>
  <si>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</si>
  <si>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</si>
  <si>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</si>
  <si>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</si>
  <si>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</si>
  <si>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</si>
  <si>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</si>
  <si>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</si>
  <si>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</si>
  <si>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</si>
  <si>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</si>
  <si>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</si>
  <si>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</si>
  <si>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</si>
  <si>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</si>
  <si>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</si>
  <si>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</si>
  <si>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</si>
  <si>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</si>
  <si>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</si>
  <si>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</si>
  <si>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</si>
  <si>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</si>
  <si>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</si>
  <si>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</si>
  <si>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</si>
  <si>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</si>
  <si>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</si>
  <si>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</si>
  <si>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</si>
  <si>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</si>
  <si>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</si>
  <si>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</si>
  <si>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</si>
  <si>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</si>
  <si>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</si>
  <si>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</si>
  <si>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</si>
  <si>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</si>
  <si>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</si>
  <si>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</si>
  <si>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</si>
  <si>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</si>
  <si>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</si>
  <si>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</si>
  <si>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</si>
  <si>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</si>
  <si>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</si>
  <si>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</si>
  <si>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</si>
  <si>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</si>
  <si>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</si>
  <si>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</si>
  <si>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</si>
  <si>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</si>
  <si>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</si>
  <si>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</si>
  <si>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</si>
  <si>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</si>
  <si>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</si>
  <si>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</si>
  <si>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</si>
  <si>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</si>
  <si>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</si>
  <si>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</si>
  <si>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</si>
  <si>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</si>
  <si>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</si>
  <si>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</si>
  <si>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</si>
  <si>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</si>
  <si>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</si>
  <si>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</si>
  <si>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</si>
  <si>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</si>
  <si>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</si>
  <si>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</si>
  <si>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</si>
  <si>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</si>
  <si>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</si>
  <si>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</si>
  <si>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</si>
  <si>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</si>
  <si>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</si>
  <si>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</si>
  <si>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</si>
  <si>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</si>
  <si>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</si>
  <si>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</si>
  <si>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</si>
  <si>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</si>
  <si>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</si>
  <si>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</si>
  <si>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</si>
  <si>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</si>
  <si>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</si>
  <si>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</si>
  <si>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</si>
  <si>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</si>
  <si>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</si>
  <si>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</si>
  <si>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</si>
  <si>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</si>
  <si>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</si>
  <si>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</si>
  <si>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</si>
  <si>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</si>
  <si>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</si>
  <si>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</si>
  <si>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</si>
  <si>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</si>
  <si>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</si>
  <si>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</si>
  <si>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</si>
  <si>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</si>
  <si>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</si>
  <si>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</si>
  <si>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</si>
  <si>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</si>
  <si>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</si>
  <si>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</si>
  <si>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</si>
  <si>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</si>
  <si>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</si>
  <si>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</si>
  <si>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</si>
  <si>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</si>
  <si>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</si>
  <si>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</si>
  <si>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</si>
  <si>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</si>
  <si>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</si>
  <si>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</si>
  <si>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</si>
  <si>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</si>
  <si>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</si>
  <si>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</si>
  <si>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</si>
  <si>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</si>
  <si>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</si>
  <si>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</si>
  <si>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</si>
  <si>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</si>
  <si>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</si>
  <si>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</si>
  <si>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</si>
  <si>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</si>
  <si>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</si>
  <si>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</si>
  <si>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</si>
  <si>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</si>
  <si>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</si>
  <si>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</si>
  <si>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</si>
  <si>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</si>
  <si>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</si>
  <si>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</si>
  <si>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</si>
  <si>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</si>
  <si>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</si>
  <si>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</si>
  <si>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</si>
  <si>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</si>
  <si>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</si>
  <si>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</si>
  <si>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</si>
  <si>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</si>
  <si>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</si>
  <si>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</si>
  <si>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</si>
  <si>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</si>
  <si>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</si>
  <si>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</si>
  <si>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</si>
  <si>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</si>
  <si>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</si>
  <si>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</si>
  <si>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</si>
  <si>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</si>
  <si>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</si>
  <si>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</si>
  <si>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</si>
  <si>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</si>
  <si>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</si>
  <si>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</si>
  <si>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</si>
  <si>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</si>
  <si>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</si>
  <si>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</si>
  <si>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</si>
  <si>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</si>
  <si>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</si>
  <si>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</si>
  <si>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</si>
  <si>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</si>
  <si>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</si>
  <si>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</si>
  <si>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</si>
  <si>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</si>
  <si>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</si>
  <si>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</si>
  <si>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</si>
  <si>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</si>
  <si>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</si>
  <si>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</si>
  <si>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</si>
  <si>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</si>
  <si>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</si>
  <si>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</si>
  <si>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</si>
  <si>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</si>
  <si>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</si>
  <si>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</si>
  <si>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</si>
  <si>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</si>
  <si>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</si>
  <si>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</si>
  <si>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</si>
  <si>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</si>
  <si>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</si>
  <si>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</si>
  <si>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</si>
  <si>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</si>
  <si>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</si>
  <si>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</si>
  <si>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</si>
  <si>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</si>
  <si>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</si>
  <si>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</si>
  <si>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</si>
  <si>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</si>
  <si>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</si>
  <si>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</si>
  <si>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</si>
  <si>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</si>
  <si>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</si>
  <si>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</si>
  <si>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</si>
  <si>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</si>
  <si>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</si>
  <si>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</si>
  <si>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</si>
  <si>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</si>
  <si>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</si>
  <si>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</si>
  <si>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</si>
  <si>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</si>
  <si>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</si>
  <si>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</si>
  <si>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</si>
  <si>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</si>
  <si>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</si>
  <si>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</si>
  <si>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</si>
  <si>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</si>
  <si>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</si>
  <si>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</si>
  <si>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</si>
  <si>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</si>
  <si>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</si>
  <si>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</si>
  <si>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</si>
  <si>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</si>
  <si>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</si>
  <si>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</si>
  <si>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</si>
  <si>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</si>
  <si>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</si>
  <si>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</si>
  <si>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</si>
  <si>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</si>
  <si>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</si>
  <si>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</si>
  <si>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</si>
  <si>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</si>
  <si>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</si>
  <si>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</si>
  <si>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</si>
  <si>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</si>
  <si>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</si>
  <si>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</si>
  <si>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</si>
  <si>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</si>
  <si>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</si>
  <si>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</si>
  <si>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</si>
  <si>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</si>
  <si>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</si>
  <si>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</si>
  <si>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</si>
  <si>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</si>
  <si>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</si>
  <si>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</si>
  <si>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</si>
  <si>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</si>
  <si>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</si>
  <si>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</si>
  <si>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</si>
  <si>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</si>
  <si>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</si>
  <si>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</si>
  <si>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</si>
  <si>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</si>
  <si>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</si>
  <si>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</si>
  <si>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</si>
  <si>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</si>
  <si>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</si>
  <si>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</si>
  <si>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</si>
  <si>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</si>
  <si>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</si>
  <si>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</si>
  <si>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</si>
  <si>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</si>
  <si>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</si>
  <si>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</si>
  <si>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</si>
  <si>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</si>
  <si>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</si>
  <si>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</si>
  <si>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</si>
  <si>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</si>
  <si>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</si>
  <si>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</si>
  <si>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</si>
  <si>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</si>
  <si>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</si>
  <si>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</si>
  <si>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</si>
  <si>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</si>
  <si>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</si>
  <si>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</si>
  <si>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</si>
  <si>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</si>
  <si>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</si>
  <si>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</si>
  <si>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</si>
  <si>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</si>
  <si>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</si>
  <si>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</si>
  <si>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</si>
  <si>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</si>
  <si>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</si>
  <si>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</si>
  <si>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</si>
  <si>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</si>
  <si>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</si>
  <si>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</si>
  <si>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</si>
  <si>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</si>
  <si>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</si>
  <si>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</si>
  <si>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</si>
  <si>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</si>
  <si>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</si>
  <si>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</si>
  <si>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</si>
  <si>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</si>
  <si>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</si>
  <si>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</si>
  <si>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</si>
  <si>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</si>
  <si>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</si>
  <si>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</si>
  <si>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</si>
  <si>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</si>
  <si>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</si>
  <si>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</si>
  <si>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</si>
  <si>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</si>
  <si>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</si>
  <si>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</si>
  <si>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</si>
  <si>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</si>
  <si>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</si>
  <si>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</si>
  <si>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</si>
  <si>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</si>
  <si>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</si>
  <si>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</si>
  <si>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</si>
  <si>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</si>
  <si>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</si>
  <si>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</si>
  <si>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</si>
  <si>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</si>
  <si>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</si>
  <si>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</si>
  <si>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</si>
  <si>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</si>
  <si>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</si>
  <si>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</si>
  <si>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</si>
  <si>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</si>
  <si>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</si>
  <si>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</si>
  <si>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</si>
  <si>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</si>
  <si>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</si>
  <si>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</si>
  <si>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</si>
  <si>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</si>
  <si>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</si>
  <si>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</si>
  <si>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</si>
  <si>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</si>
  <si>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</si>
  <si>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</si>
  <si>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</si>
  <si>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</si>
  <si>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</si>
  <si>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</si>
  <si>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</si>
  <si>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</si>
  <si>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</si>
  <si>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</si>
  <si>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</si>
  <si>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</si>
  <si>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</si>
  <si>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</si>
  <si>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</si>
  <si>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</si>
  <si>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</si>
  <si>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</si>
  <si>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</si>
  <si>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</si>
  <si>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</si>
  <si>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</si>
  <si>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</si>
  <si>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</si>
  <si>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</si>
  <si>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</si>
  <si>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</si>
  <si>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</si>
  <si>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</si>
  <si>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</si>
  <si>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</si>
  <si>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</si>
  <si>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</si>
  <si>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</si>
  <si>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</si>
  <si>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</si>
  <si>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</si>
  <si>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</si>
  <si>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</si>
  <si>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</si>
  <si>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</si>
  <si>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</si>
  <si>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</si>
  <si>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</si>
  <si>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</si>
  <si>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</si>
  <si>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</si>
  <si>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</si>
  <si>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</si>
  <si>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</si>
  <si>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</si>
  <si>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</si>
  <si>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</si>
  <si>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</si>
  <si>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</si>
  <si>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</si>
  <si>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</si>
  <si>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</si>
  <si>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</si>
  <si>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</si>
  <si>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</si>
  <si>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</si>
  <si>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</si>
  <si>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</si>
  <si>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</si>
  <si>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</si>
  <si>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</si>
  <si>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</si>
  <si>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</si>
  <si>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</si>
  <si>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</si>
  <si>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</si>
  <si>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</si>
  <si>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</si>
  <si>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</si>
  <si>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</si>
  <si>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</si>
  <si>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</si>
  <si>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</si>
  <si>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</si>
  <si>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</si>
  <si>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</si>
  <si>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</si>
  <si>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</si>
  <si>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</si>
  <si>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</si>
  <si>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</si>
  <si>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</si>
  <si>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</si>
  <si>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</si>
  <si>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</si>
  <si>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</si>
  <si>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</si>
  <si>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</si>
  <si>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</si>
  <si>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</si>
  <si>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</si>
  <si>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</si>
  <si>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</si>
  <si>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</si>
  <si>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</si>
  <si>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</si>
  <si>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</si>
  <si>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</si>
  <si>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</si>
  <si>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</si>
  <si>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</si>
  <si>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</si>
  <si>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</si>
  <si>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</si>
  <si>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</si>
  <si>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</si>
  <si>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</si>
  <si>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</si>
  <si>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</si>
  <si>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</si>
  <si>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</si>
  <si>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</si>
  <si>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</si>
  <si>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</si>
  <si>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</si>
  <si>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</si>
  <si>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</si>
  <si>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</si>
  <si>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</si>
  <si>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</si>
  <si>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</si>
  <si>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</si>
  <si>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</si>
  <si>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</si>
  <si>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</si>
  <si>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</si>
  <si>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</si>
  <si>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</si>
  <si>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</si>
  <si>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</si>
  <si>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</si>
  <si>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</si>
  <si>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</si>
  <si>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</si>
  <si>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</si>
  <si>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</si>
  <si>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</si>
  <si>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</si>
  <si>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</si>
  <si>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</si>
  <si>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</si>
  <si>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</si>
  <si>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</si>
  <si>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</si>
  <si>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</si>
  <si>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</si>
  <si>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</si>
  <si>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</si>
  <si>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</si>
  <si>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</si>
  <si>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</si>
  <si>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</si>
  <si>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</si>
  <si>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</si>
  <si>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</si>
  <si>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</si>
  <si>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</si>
  <si>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</si>
  <si>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</si>
  <si>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</si>
  <si>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</si>
  <si>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</si>
  <si>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</si>
  <si>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</si>
  <si>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</si>
  <si>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</si>
  <si>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</si>
  <si>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</si>
  <si>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</si>
  <si>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</si>
  <si>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</si>
  <si>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</si>
  <si>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</si>
  <si>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</si>
  <si>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</si>
  <si>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</si>
  <si>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</si>
  <si>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</si>
  <si>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</si>
  <si>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</si>
  <si>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</si>
  <si>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</si>
  <si>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</si>
  <si>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</si>
  <si>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</si>
  <si>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</si>
  <si>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</si>
  <si>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</si>
  <si>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</si>
  <si>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</si>
  <si>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</si>
  <si>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</si>
  <si>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</si>
  <si>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</si>
  <si>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</si>
  <si>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</si>
  <si>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</si>
  <si>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</si>
  <si>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</si>
  <si>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</si>
  <si>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</si>
  <si>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</si>
  <si>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</si>
  <si>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</si>
  <si>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</si>
  <si>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</si>
  <si>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</si>
  <si>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</si>
  <si>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</si>
  <si>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</si>
  <si>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</si>
  <si>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</si>
  <si>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</si>
  <si>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</si>
  <si>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</si>
  <si>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</si>
  <si>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</si>
  <si>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</si>
  <si>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</si>
  <si>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</si>
  <si>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</si>
  <si>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</si>
  <si>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</si>
  <si>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</si>
  <si>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</si>
  <si>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</si>
  <si>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</si>
  <si>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</si>
  <si>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</si>
  <si>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</si>
  <si>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</si>
  <si>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</si>
  <si>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</si>
  <si>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</si>
  <si>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</si>
  <si>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</si>
  <si>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</si>
  <si>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</si>
  <si>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</si>
  <si>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</si>
  <si>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</si>
  <si>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</si>
  <si>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</si>
  <si>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</si>
  <si>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</si>
  <si>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</si>
  <si>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</si>
  <si>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</si>
  <si>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</si>
  <si>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</si>
  <si>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</si>
  <si>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</si>
  <si>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</si>
  <si>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</si>
  <si>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</si>
  <si>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</si>
  <si>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</si>
  <si>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</si>
  <si>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</si>
  <si>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</si>
  <si>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</si>
  <si>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</si>
  <si>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</si>
  <si>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</si>
  <si>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</si>
  <si>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</si>
  <si>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</si>
  <si>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</si>
  <si>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</si>
  <si>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</si>
  <si>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</si>
  <si>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</si>
  <si>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</si>
  <si>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</si>
  <si>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</si>
  <si>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</si>
  <si>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</si>
  <si>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</si>
  <si>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</si>
  <si>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</si>
  <si>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</si>
  <si>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</si>
  <si>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</si>
  <si>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</si>
  <si>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</si>
  <si>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</si>
  <si>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</si>
  <si>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</si>
  <si>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</si>
  <si>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</si>
  <si>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</si>
  <si>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</si>
  <si>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</si>
  <si>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</si>
  <si>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</si>
  <si>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</si>
  <si>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</si>
  <si>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</si>
  <si>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</si>
  <si>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</si>
  <si>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</si>
  <si>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</si>
  <si>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</si>
  <si>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</si>
  <si>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</si>
  <si>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</si>
  <si>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</si>
  <si>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</si>
  <si>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</si>
  <si>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</si>
  <si>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</si>
  <si>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</si>
  <si>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</si>
  <si>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</si>
  <si>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</si>
  <si>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</si>
  <si>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</si>
  <si>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</si>
  <si>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</si>
  <si>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</si>
  <si>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</si>
  <si>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</si>
  <si>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</si>
  <si>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</si>
  <si>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</si>
  <si>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</si>
  <si>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</si>
  <si>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</si>
  <si>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</si>
  <si>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</si>
  <si>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</si>
  <si>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</si>
  <si>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</si>
  <si>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</si>
  <si>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</si>
  <si>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</si>
  <si>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</si>
  <si>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</si>
  <si>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</si>
  <si>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</si>
  <si>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</si>
  <si>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</si>
  <si>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</si>
  <si>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</si>
  <si>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</si>
  <si>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</si>
  <si>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</si>
  <si>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</si>
  <si>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</si>
  <si>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</si>
  <si>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</si>
  <si>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</si>
  <si>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</si>
  <si>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</si>
  <si>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</si>
  <si>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</si>
  <si>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</si>
  <si>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</si>
  <si>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</si>
  <si>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</si>
  <si>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</si>
  <si>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</si>
  <si>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</si>
  <si>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</si>
  <si>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</si>
  <si>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</si>
  <si>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</si>
  <si>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</si>
  <si>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</si>
  <si>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</si>
  <si>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</si>
  <si>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</si>
  <si>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</si>
  <si>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</si>
  <si>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</si>
  <si>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</si>
  <si>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</si>
  <si>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</si>
  <si>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</si>
  <si>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</si>
  <si>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</si>
  <si>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</si>
  <si>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</si>
  <si>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</si>
  <si>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</si>
  <si>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</si>
  <si>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</si>
  <si>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</si>
  <si>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</si>
  <si>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</si>
  <si>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</si>
  <si>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</si>
  <si>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</si>
  <si>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</si>
  <si>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</si>
  <si>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</si>
  <si>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</si>
  <si>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</si>
  <si>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</si>
  <si>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</si>
  <si>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</si>
  <si>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</si>
  <si>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</si>
  <si>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</si>
  <si>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</si>
  <si>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</si>
  <si>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</si>
  <si>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</si>
  <si>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</si>
  <si>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</si>
  <si>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</si>
  <si>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</si>
  <si>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</si>
  <si>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</si>
  <si>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</si>
  <si>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</si>
  <si>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</si>
  <si>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</si>
  <si>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</si>
  <si>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</si>
  <si>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</si>
  <si>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</si>
  <si>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</si>
  <si>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</si>
  <si>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</si>
  <si>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</si>
  <si>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</si>
  <si>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</si>
  <si>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</si>
  <si>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</si>
  <si>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</si>
  <si>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</si>
  <si>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</si>
  <si>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</si>
  <si>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</si>
  <si>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</si>
  <si>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</si>
  <si>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</si>
  <si>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</si>
  <si>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</si>
  <si>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</si>
  <si>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</si>
  <si>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</si>
  <si>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</si>
  <si>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</si>
  <si>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</si>
  <si>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</si>
  <si>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</si>
  <si>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</si>
  <si>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</si>
  <si>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</si>
  <si>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</si>
  <si>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</si>
  <si>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</si>
  <si>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</si>
  <si>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</si>
  <si>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</si>
  <si>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</si>
  <si>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</si>
  <si>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</si>
  <si>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</si>
  <si>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</si>
  <si>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</si>
  <si>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</si>
  <si>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</si>
  <si>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</si>
  <si>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</si>
  <si>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</si>
  <si>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</si>
  <si>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</si>
  <si>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2654</t>
  </si>
  <si>
    <t>26320126</t>
  </si>
  <si>
    <t>АО  "Красноярская региональная энергетическая компания"</t>
  </si>
  <si>
    <t>2460087269</t>
  </si>
  <si>
    <t>246001001</t>
  </si>
  <si>
    <t>26439323</t>
  </si>
  <si>
    <t>АО "Ачинский НПЗ ВНК"</t>
  </si>
  <si>
    <t>2443000518</t>
  </si>
  <si>
    <t>240901001</t>
  </si>
  <si>
    <t>05-09-2002 00:00:00</t>
  </si>
  <si>
    <t>28459149</t>
  </si>
  <si>
    <t>АО "БАЗА КОМБЫТОПТТОРГ"</t>
  </si>
  <si>
    <t>2463008931</t>
  </si>
  <si>
    <t>246301001</t>
  </si>
  <si>
    <t>26371354</t>
  </si>
  <si>
    <t>АО "Богучанская ГЭС"</t>
  </si>
  <si>
    <t>2420002597</t>
  </si>
  <si>
    <t>242001001</t>
  </si>
  <si>
    <t>11-09-2002 00:00:00</t>
  </si>
  <si>
    <t>26560525</t>
  </si>
  <si>
    <t>АО "ГУ ЖКХ"</t>
  </si>
  <si>
    <t>5116000922</t>
  </si>
  <si>
    <t>511601001</t>
  </si>
  <si>
    <t>13-05-2009 00:00:00</t>
  </si>
  <si>
    <t>30872564</t>
  </si>
  <si>
    <t>АО "Главное управление обустройства войск"</t>
  </si>
  <si>
    <t>7703702341</t>
  </si>
  <si>
    <t>770401001</t>
  </si>
  <si>
    <t>23-01-2017 00:00:00</t>
  </si>
  <si>
    <t>26370721</t>
  </si>
  <si>
    <t>АО "Енисейская ТГК (ТГК-13)"</t>
  </si>
  <si>
    <t>1901067718</t>
  </si>
  <si>
    <t>785150001</t>
  </si>
  <si>
    <t>21-12-2006 00:00:00</t>
  </si>
  <si>
    <t>31464207</t>
  </si>
  <si>
    <t>АО "Ирбинские энергосети"</t>
  </si>
  <si>
    <t>2423015121</t>
  </si>
  <si>
    <t>242301001</t>
  </si>
  <si>
    <t>30876467</t>
  </si>
  <si>
    <t>АО "КЖБМК"</t>
  </si>
  <si>
    <t>2462012251</t>
  </si>
  <si>
    <t>246201001</t>
  </si>
  <si>
    <t>31349126</t>
  </si>
  <si>
    <t>АО "КЭК"</t>
  </si>
  <si>
    <t>2411029049</t>
  </si>
  <si>
    <t>241101001</t>
  </si>
  <si>
    <t>26439101</t>
  </si>
  <si>
    <t>АО "Красмаш"</t>
  </si>
  <si>
    <t>2462206345</t>
  </si>
  <si>
    <t>23-12-2008 00:00:00</t>
  </si>
  <si>
    <t>27796551</t>
  </si>
  <si>
    <t>АО "Красноярская ТЭЦ-1"</t>
  </si>
  <si>
    <t>2460237926</t>
  </si>
  <si>
    <t>28-04-2012 00:00:00</t>
  </si>
  <si>
    <t>01-12-2023 00:00:00</t>
  </si>
  <si>
    <t>31462003</t>
  </si>
  <si>
    <t>АО "Красноярскнефтепродукт"</t>
  </si>
  <si>
    <t>2460002949</t>
  </si>
  <si>
    <t>783450001</t>
  </si>
  <si>
    <t>26620863</t>
  </si>
  <si>
    <t>АО "Красноярскнефтепродукт" филиал "Северный"</t>
  </si>
  <si>
    <t>244701001</t>
  </si>
  <si>
    <t>29-07-1996 00:00:00</t>
  </si>
  <si>
    <t>27796516</t>
  </si>
  <si>
    <t>АО "Назаровская ГРЭС"</t>
  </si>
  <si>
    <t>2460237901</t>
  </si>
  <si>
    <t>26371432</t>
  </si>
  <si>
    <t>АО "Новоенисейский ЛХК"</t>
  </si>
  <si>
    <t>2454012346</t>
  </si>
  <si>
    <t>245401001</t>
  </si>
  <si>
    <t>10-07-2002 00:00:00</t>
  </si>
  <si>
    <t>26442301</t>
  </si>
  <si>
    <t>АО "Норильскгазпром"</t>
  </si>
  <si>
    <t>2457002628</t>
  </si>
  <si>
    <t>245701001</t>
  </si>
  <si>
    <t>19-06-1997 00:00:00</t>
  </si>
  <si>
    <t>26371451</t>
  </si>
  <si>
    <t>АО "Норильско-Таймырская энергетическая компания"</t>
  </si>
  <si>
    <t>2457058356</t>
  </si>
  <si>
    <t>246750001</t>
  </si>
  <si>
    <t>01-06-2005 00:00:00</t>
  </si>
  <si>
    <t>30892303</t>
  </si>
  <si>
    <t>АО "Норильсктрансгаз"</t>
  </si>
  <si>
    <t>2457081355</t>
  </si>
  <si>
    <t>26320152</t>
  </si>
  <si>
    <t>АО "Русал Ачинск"</t>
  </si>
  <si>
    <t>2443005570</t>
  </si>
  <si>
    <t>997550001</t>
  </si>
  <si>
    <t>09-10-2002 00:00:00</t>
  </si>
  <si>
    <t>26619041</t>
  </si>
  <si>
    <t>АО "Санаторий "Красноярское Загорье"</t>
  </si>
  <si>
    <t>2403001924</t>
  </si>
  <si>
    <t>240301001</t>
  </si>
  <si>
    <t>31-05-1995 00:00:00</t>
  </si>
  <si>
    <t>26319137</t>
  </si>
  <si>
    <t>АО "Таймырбыт"</t>
  </si>
  <si>
    <t>8401011170</t>
  </si>
  <si>
    <t>840101001</t>
  </si>
  <si>
    <t>30-06-2005 00:00:00</t>
  </si>
  <si>
    <t>26503218</t>
  </si>
  <si>
    <t>АО "Тубинск"</t>
  </si>
  <si>
    <t>2422392039</t>
  </si>
  <si>
    <t>242201001</t>
  </si>
  <si>
    <t>26499647</t>
  </si>
  <si>
    <t>АО "Хантайское"</t>
  </si>
  <si>
    <t>8401010956</t>
  </si>
  <si>
    <t>27626471</t>
  </si>
  <si>
    <t>АО «Красноярсккрайгаз»</t>
  </si>
  <si>
    <t>2460220440</t>
  </si>
  <si>
    <t>26320160</t>
  </si>
  <si>
    <t>АО «СУЭК-Красноярск»</t>
  </si>
  <si>
    <t>2466152267</t>
  </si>
  <si>
    <t>246601001</t>
  </si>
  <si>
    <t>26628590</t>
  </si>
  <si>
    <t>АО «Транснефть - Западная Сибирь»</t>
  </si>
  <si>
    <t>5502020634</t>
  </si>
  <si>
    <t>246643002</t>
  </si>
  <si>
    <t>26371456</t>
  </si>
  <si>
    <t>АО Красноярскнефтепродукт филиал Восточный</t>
  </si>
  <si>
    <t>26-07-2002 00:00:00</t>
  </si>
  <si>
    <t>30394860</t>
  </si>
  <si>
    <t>АО Красноярскнефтепродукт филиал Рыбинский</t>
  </si>
  <si>
    <t>244802001</t>
  </si>
  <si>
    <t>30370524</t>
  </si>
  <si>
    <t>Акционерное общество «Транснефть - Западная Сибирь»</t>
  </si>
  <si>
    <t>244432001</t>
  </si>
  <si>
    <t>28812153</t>
  </si>
  <si>
    <t>ГП КК "Центр развития коммунального комплекса"</t>
  </si>
  <si>
    <t>2460050766</t>
  </si>
  <si>
    <t>27584979</t>
  </si>
  <si>
    <t>Енисейский филиал Пассажирского вагоннного депо Красноярск АО "Федеральная  пассажирская компания"</t>
  </si>
  <si>
    <t>7708709686</t>
  </si>
  <si>
    <t>246043001</t>
  </si>
  <si>
    <t>26503210</t>
  </si>
  <si>
    <t>ЗАО "Арефьевское"</t>
  </si>
  <si>
    <t>2450012909</t>
  </si>
  <si>
    <t>245001001</t>
  </si>
  <si>
    <t>26444737</t>
  </si>
  <si>
    <t>ЗАО "Большеуринское"</t>
  </si>
  <si>
    <t>2450012828</t>
  </si>
  <si>
    <t>07-11-2002 00:00:00</t>
  </si>
  <si>
    <t>27742888</t>
  </si>
  <si>
    <t>ЗАО "ЗДК Полюс"</t>
  </si>
  <si>
    <t>2434000335</t>
  </si>
  <si>
    <t>243401001</t>
  </si>
  <si>
    <t>26499632</t>
  </si>
  <si>
    <t>ЗАО "Искра"</t>
  </si>
  <si>
    <t>2439001597</t>
  </si>
  <si>
    <t>243901001</t>
  </si>
  <si>
    <t>25-03-2010 00:00:00</t>
  </si>
  <si>
    <t>28459033</t>
  </si>
  <si>
    <t>ЗАО "КрасПТМ"</t>
  </si>
  <si>
    <t>2463045877</t>
  </si>
  <si>
    <t>246501001</t>
  </si>
  <si>
    <t>26432997</t>
  </si>
  <si>
    <t>ЗАО "Назаровское"</t>
  </si>
  <si>
    <t>2427000415</t>
  </si>
  <si>
    <t>245601001</t>
  </si>
  <si>
    <t>19-06-1992 00:00:00</t>
  </si>
  <si>
    <t>26371405</t>
  </si>
  <si>
    <t>ЗАО "Промэнерго"</t>
  </si>
  <si>
    <t>2443022857</t>
  </si>
  <si>
    <t>244301001</t>
  </si>
  <si>
    <t>02-02-2004 00:00:00</t>
  </si>
  <si>
    <t>26499251</t>
  </si>
  <si>
    <t>ЗАО Заря</t>
  </si>
  <si>
    <t>2414002623</t>
  </si>
  <si>
    <t>241401001</t>
  </si>
  <si>
    <t>26501656</t>
  </si>
  <si>
    <t>ЗАО Разрез Канский</t>
  </si>
  <si>
    <t>2450024566</t>
  </si>
  <si>
    <t>31387493</t>
  </si>
  <si>
    <t>ИП Максимов</t>
  </si>
  <si>
    <t>245906520601</t>
  </si>
  <si>
    <t>31578382</t>
  </si>
  <si>
    <t>ИП Моисеев А. В.</t>
  </si>
  <si>
    <t>245010825265</t>
  </si>
  <si>
    <t>30438669</t>
  </si>
  <si>
    <t>КГАУ СО «Маганский психоневрологический интернат»</t>
  </si>
  <si>
    <t>2404015006</t>
  </si>
  <si>
    <t>240401001</t>
  </si>
  <si>
    <t>30394871</t>
  </si>
  <si>
    <t>КГБПОУ "ТЕХНИКУМ ГОРНЫХ РАЗРАБОТОК ИМЕНИ В.П.АСТАФЬЕВА"</t>
  </si>
  <si>
    <t>2448001466</t>
  </si>
  <si>
    <t>244801001</t>
  </si>
  <si>
    <t>28455506</t>
  </si>
  <si>
    <t>КГБУ СО "Енисейский психоневрологический интернат"</t>
  </si>
  <si>
    <t>2466212572</t>
  </si>
  <si>
    <t>30877337</t>
  </si>
  <si>
    <t>КГБУ СО "Специальный дом-интернат "Саянский"</t>
  </si>
  <si>
    <t>2433001495</t>
  </si>
  <si>
    <t>243301001</t>
  </si>
  <si>
    <t>28030531</t>
  </si>
  <si>
    <t>КГБУ СО «Дзержинский психоневрологический интернат»</t>
  </si>
  <si>
    <t>2410001361</t>
  </si>
  <si>
    <t>241001001</t>
  </si>
  <si>
    <t>28979929</t>
  </si>
  <si>
    <t>КГБУ СО «Енисейский психоневрологический интернат»</t>
  </si>
  <si>
    <t>2454010998</t>
  </si>
  <si>
    <t>30794705</t>
  </si>
  <si>
    <t>КГБУЗ ККПТД №1</t>
  </si>
  <si>
    <t>2464008420</t>
  </si>
  <si>
    <t>246401001</t>
  </si>
  <si>
    <t>27582831</t>
  </si>
  <si>
    <t>КГБУСО "Канский психоневрологический интернат"</t>
  </si>
  <si>
    <t>2450003647</t>
  </si>
  <si>
    <t>26371358</t>
  </si>
  <si>
    <t>Краснотуранское РМПП ЖКХ</t>
  </si>
  <si>
    <t>2422000884</t>
  </si>
  <si>
    <t>26-09-1994 00:00:00</t>
  </si>
  <si>
    <t>26824651</t>
  </si>
  <si>
    <t>Красноярская дирекция по тепловодоснабжению</t>
  </si>
  <si>
    <t>7708503727</t>
  </si>
  <si>
    <t>246645014</t>
  </si>
  <si>
    <t>26320174</t>
  </si>
  <si>
    <t>Красноярский научный центр СО РАН</t>
  </si>
  <si>
    <t>2463002263</t>
  </si>
  <si>
    <t>27921007</t>
  </si>
  <si>
    <t>Красноярский филиал ОАО "НИКИМТ-Атомстрой"</t>
  </si>
  <si>
    <t>7715719854</t>
  </si>
  <si>
    <t>245243001</t>
  </si>
  <si>
    <t>28458903</t>
  </si>
  <si>
    <t>МБУЗ "Ирбейская ЦРБ"</t>
  </si>
  <si>
    <t>2416002065</t>
  </si>
  <si>
    <t>241601001</t>
  </si>
  <si>
    <t>МИНИСТЕРСТВО ТАРИФНОЙ ПОЛИТИКИ КРАСНОЯРСКОГО КРАЯ</t>
  </si>
  <si>
    <t>2465184114</t>
  </si>
  <si>
    <t>31348826</t>
  </si>
  <si>
    <t>МП "Автоколонна Курагинского района"</t>
  </si>
  <si>
    <t>2423010941</t>
  </si>
  <si>
    <t>31543085</t>
  </si>
  <si>
    <t>МП "КрасКомХоз Курагинского района"</t>
  </si>
  <si>
    <t>2423015234</t>
  </si>
  <si>
    <t>31221960</t>
  </si>
  <si>
    <t>МП "Саяны Сервис"</t>
  </si>
  <si>
    <t>2423014992</t>
  </si>
  <si>
    <t>26499285</t>
  </si>
  <si>
    <t>МП ЖКУ Есаульского сельсовета</t>
  </si>
  <si>
    <t>2404008672</t>
  </si>
  <si>
    <t>02-05-2007 00:00:00</t>
  </si>
  <si>
    <t>26371426</t>
  </si>
  <si>
    <t>МП ЗАТО Железногорск "Гортеплоэнерго"</t>
  </si>
  <si>
    <t>2452024096</t>
  </si>
  <si>
    <t>245201001</t>
  </si>
  <si>
    <t>03-12-2002 00:00:00</t>
  </si>
  <si>
    <t>31387767</t>
  </si>
  <si>
    <t>МП Управляющая компания "Дирекция муниципального заказа"</t>
  </si>
  <si>
    <t>2437003905</t>
  </si>
  <si>
    <t>243701001</t>
  </si>
  <si>
    <t>26442349</t>
  </si>
  <si>
    <t>МП ЭМР "Байкитэнерго"</t>
  </si>
  <si>
    <t>8802000955</t>
  </si>
  <si>
    <t>880201001</t>
  </si>
  <si>
    <t>05-11-2002 00:00:00</t>
  </si>
  <si>
    <t>26442313</t>
  </si>
  <si>
    <t>МП ЭМР "Ванавараэнерго"</t>
  </si>
  <si>
    <t>8803001655</t>
  </si>
  <si>
    <t>880301001</t>
  </si>
  <si>
    <t>02-12-2002 00:00:00</t>
  </si>
  <si>
    <t>26442330</t>
  </si>
  <si>
    <t>МП ЭМР "Илимпийские теплосети"</t>
  </si>
  <si>
    <t>8801011048</t>
  </si>
  <si>
    <t>880101001</t>
  </si>
  <si>
    <t>20-10-2007 00:00:00</t>
  </si>
  <si>
    <t>26318669</t>
  </si>
  <si>
    <t>МП ЭМР "Илимпийские электросети"</t>
  </si>
  <si>
    <t>8801011136</t>
  </si>
  <si>
    <t>26501830</t>
  </si>
  <si>
    <t>МУЗ Нижнеингашская ЦРБ</t>
  </si>
  <si>
    <t>2428001700</t>
  </si>
  <si>
    <t>242801001</t>
  </si>
  <si>
    <t>31022654</t>
  </si>
  <si>
    <t>МУП "Анашенский тепловодоканал"</t>
  </si>
  <si>
    <t>2429001252</t>
  </si>
  <si>
    <t>242901001</t>
  </si>
  <si>
    <t>26444534</t>
  </si>
  <si>
    <t>МУП "Ачинские коммунальные системы"</t>
  </si>
  <si>
    <t>2443031957</t>
  </si>
  <si>
    <t>20-09-2007 00:00:00</t>
  </si>
  <si>
    <t>26442382</t>
  </si>
  <si>
    <t>МУП "Водоканал" Ильичевского  сельсовета</t>
  </si>
  <si>
    <t>2442011436</t>
  </si>
  <si>
    <t>244201001</t>
  </si>
  <si>
    <t>26-06-2008 00:00:00</t>
  </si>
  <si>
    <t>26371399</t>
  </si>
  <si>
    <t>МУП "Городское коммунальное хозяйство"</t>
  </si>
  <si>
    <t>2440006462</t>
  </si>
  <si>
    <t>244001001</t>
  </si>
  <si>
    <t>25-09-2006 00:00:00</t>
  </si>
  <si>
    <t>30396877</t>
  </si>
  <si>
    <t>МУП "ЖКК ВОЗНЕСЕНСКОГО СЕЛЬСОВЕТА"</t>
  </si>
  <si>
    <t>2404017885</t>
  </si>
  <si>
    <t>26440636</t>
  </si>
  <si>
    <t>МУП "ЖКС" Шуваево</t>
  </si>
  <si>
    <t>2411016628</t>
  </si>
  <si>
    <t>21-01-2009 00:00:00</t>
  </si>
  <si>
    <t>26371438</t>
  </si>
  <si>
    <t>МУП "ЖКХ Назаровского района"</t>
  </si>
  <si>
    <t>2456009853</t>
  </si>
  <si>
    <t>15-06-2005 00:00:00</t>
  </si>
  <si>
    <t>26371433</t>
  </si>
  <si>
    <t>МУП "ЖКХ г. Лесосибирска"</t>
  </si>
  <si>
    <t>2454017182</t>
  </si>
  <si>
    <t>21-09-2006 00:00:00</t>
  </si>
  <si>
    <t>26371393</t>
  </si>
  <si>
    <t>МУП "ЖКХ" ЗАТО Солнечный</t>
  </si>
  <si>
    <t>2439005538</t>
  </si>
  <si>
    <t>25-04-2002 00:00:00</t>
  </si>
  <si>
    <t>28828307</t>
  </si>
  <si>
    <t>МУП "ЖКХ" Минусинского района</t>
  </si>
  <si>
    <t>2455035064</t>
  </si>
  <si>
    <t>245501001</t>
  </si>
  <si>
    <t>06-06-2014 00:00:00</t>
  </si>
  <si>
    <t>30871097</t>
  </si>
  <si>
    <t>МУП "Жилищно-коммунальный комплекс Бархатовского сельсовета"</t>
  </si>
  <si>
    <t>2404017469</t>
  </si>
  <si>
    <t>26371453</t>
  </si>
  <si>
    <t>МУП "Жилкомсервис" г. Сосновоборск</t>
  </si>
  <si>
    <t>2458008862</t>
  </si>
  <si>
    <t>245801001</t>
  </si>
  <si>
    <t>01-07-2002 00:00:00</t>
  </si>
  <si>
    <t>26371401</t>
  </si>
  <si>
    <t>МУП "Казанцевский водоканал"</t>
  </si>
  <si>
    <t>2442010714</t>
  </si>
  <si>
    <t>10-04-2006 00:00:00</t>
  </si>
  <si>
    <t>26320144</t>
  </si>
  <si>
    <t>МУП "Канский Электросетьсбыт"</t>
  </si>
  <si>
    <t>2450017488</t>
  </si>
  <si>
    <t>28030478</t>
  </si>
  <si>
    <t>МУП "Колбинское ЖКХ"</t>
  </si>
  <si>
    <t>2424007162</t>
  </si>
  <si>
    <t>242401001</t>
  </si>
  <si>
    <t>26379430</t>
  </si>
  <si>
    <t>МУП "Коммунальные объединенные системы"</t>
  </si>
  <si>
    <t>2457029066</t>
  </si>
  <si>
    <t>06-05-2008 00:00:00</t>
  </si>
  <si>
    <t>26620517</t>
  </si>
  <si>
    <t>МУП "Коммунальщик"</t>
  </si>
  <si>
    <t>2429002760</t>
  </si>
  <si>
    <t>22-07-2010 00:00:00</t>
  </si>
  <si>
    <t>31043009</t>
  </si>
  <si>
    <t>МУП "Коммунальщик" Минусинского района</t>
  </si>
  <si>
    <t>2455038386</t>
  </si>
  <si>
    <t>26371441</t>
  </si>
  <si>
    <t>МУП "Красносопкинское ЖКХ"</t>
  </si>
  <si>
    <t>2456009998</t>
  </si>
  <si>
    <t>19-08-2005 00:00:00</t>
  </si>
  <si>
    <t>26371430</t>
  </si>
  <si>
    <t>МУП "ППЖКХ № 5 п. Стрелка"</t>
  </si>
  <si>
    <t>2454000661</t>
  </si>
  <si>
    <t>04-12-2002 00:00:00</t>
  </si>
  <si>
    <t>27995712</t>
  </si>
  <si>
    <t>МУП "РТЭК"</t>
  </si>
  <si>
    <t>2444001602</t>
  </si>
  <si>
    <t>244401001</t>
  </si>
  <si>
    <t>30947671</t>
  </si>
  <si>
    <t>МУП "Районный коммунальный комплекс"</t>
  </si>
  <si>
    <t>2443048573</t>
  </si>
  <si>
    <t>26558630</t>
  </si>
  <si>
    <t>МУП "Сибсервис"</t>
  </si>
  <si>
    <t>2428005222</t>
  </si>
  <si>
    <t>28903631</t>
  </si>
  <si>
    <t>МУП "Теплоком"</t>
  </si>
  <si>
    <t>2433004471</t>
  </si>
  <si>
    <t>31261723</t>
  </si>
  <si>
    <t>МУП "Тинское ЖКХ"</t>
  </si>
  <si>
    <t>2428005550</t>
  </si>
  <si>
    <t>26371381</t>
  </si>
  <si>
    <t>МУП "Толстомысенское ПП ЖКХ"</t>
  </si>
  <si>
    <t>2429002263</t>
  </si>
  <si>
    <t>27-09-2005 00:00:00</t>
  </si>
  <si>
    <t>26371386</t>
  </si>
  <si>
    <t>МУП "УКК" Северо-Енисейского района"</t>
  </si>
  <si>
    <t>2434001177</t>
  </si>
  <si>
    <t>01-03-2002 00:00:00</t>
  </si>
  <si>
    <t>26440798</t>
  </si>
  <si>
    <t>МУП "Филимоновский жилищный комплекс"</t>
  </si>
  <si>
    <t>2450021011</t>
  </si>
  <si>
    <t>19-11-2007 00:00:00</t>
  </si>
  <si>
    <t>26318674</t>
  </si>
  <si>
    <t>МУП "Хатанга-Энергия"</t>
  </si>
  <si>
    <t>8403001604</t>
  </si>
  <si>
    <t>840301001</t>
  </si>
  <si>
    <t>26320147</t>
  </si>
  <si>
    <t>МУП "Шушенские ТЭС"</t>
  </si>
  <si>
    <t>2442000890</t>
  </si>
  <si>
    <t>26320148</t>
  </si>
  <si>
    <t>МУП "ЭС" г.Дивногорск</t>
  </si>
  <si>
    <t>2446001206</t>
  </si>
  <si>
    <t>244601001</t>
  </si>
  <si>
    <t>26371346</t>
  </si>
  <si>
    <t>МУП Емельяновского района "Коммунальщик"</t>
  </si>
  <si>
    <t>2411013137</t>
  </si>
  <si>
    <t>18-12-2002 00:00:00</t>
  </si>
  <si>
    <t>26500186</t>
  </si>
  <si>
    <t>МУП ЖКХ Машуковский</t>
  </si>
  <si>
    <t>2426004128</t>
  </si>
  <si>
    <t>242601001</t>
  </si>
  <si>
    <t>26557483</t>
  </si>
  <si>
    <t>МУП ЖКХ Нижне-Есауловское</t>
  </si>
  <si>
    <t>2424006715</t>
  </si>
  <si>
    <t>13-08-2009 00:00:00</t>
  </si>
  <si>
    <t>28821786</t>
  </si>
  <si>
    <t>МУП Нижнеингашского района "Альянс"</t>
  </si>
  <si>
    <t>2428004003</t>
  </si>
  <si>
    <t>27580577</t>
  </si>
  <si>
    <t>МУП УК ЖКХ "Агинское"</t>
  </si>
  <si>
    <t>2433004168</t>
  </si>
  <si>
    <t>11-05-2023 00:00:00</t>
  </si>
  <si>
    <t>26558537</t>
  </si>
  <si>
    <t>МУП г. Минусинска "Минусинское городское хозяйство"</t>
  </si>
  <si>
    <t>2455029568</t>
  </si>
  <si>
    <t>09-12-2009 00:00:00</t>
  </si>
  <si>
    <t>26442429</t>
  </si>
  <si>
    <t>МУП города Минусинска "Горводоканал"</t>
  </si>
  <si>
    <t>2455029945</t>
  </si>
  <si>
    <t>01-04-2010 00:00:00</t>
  </si>
  <si>
    <t>27233739</t>
  </si>
  <si>
    <t>МУП сельского поселения Караул "Коммунальщик"</t>
  </si>
  <si>
    <t>8404010136</t>
  </si>
  <si>
    <t>840401001</t>
  </si>
  <si>
    <t>26371427</t>
  </si>
  <si>
    <t>МУП тепловых сетей г.Зеленогорска</t>
  </si>
  <si>
    <t>2453000242</t>
  </si>
  <si>
    <t>245301001</t>
  </si>
  <si>
    <t>25-11-2004 00:00:00</t>
  </si>
  <si>
    <t>31387466</t>
  </si>
  <si>
    <t>МУПАС "ЖКХ"</t>
  </si>
  <si>
    <t>2435005640</t>
  </si>
  <si>
    <t>243501001</t>
  </si>
  <si>
    <t>26500091</t>
  </si>
  <si>
    <t>ОАО "ДОЗ 2 и К"</t>
  </si>
  <si>
    <t>2462023422</t>
  </si>
  <si>
    <t>31393472</t>
  </si>
  <si>
    <t>ОАО "Дзержинское АТП"</t>
  </si>
  <si>
    <t>2410000368</t>
  </si>
  <si>
    <t>26439228</t>
  </si>
  <si>
    <t>ОАО "Енисейское речное параходство филиал Ермолаевская РЭБ флота"</t>
  </si>
  <si>
    <t>2451000582</t>
  </si>
  <si>
    <t>245101001</t>
  </si>
  <si>
    <t>14-04-1994 00:00:00</t>
  </si>
  <si>
    <t>26501791</t>
  </si>
  <si>
    <t>ОАО "Красноярский ЭВРЗ"</t>
  </si>
  <si>
    <t>2460083169</t>
  </si>
  <si>
    <t>26320156</t>
  </si>
  <si>
    <t>ОАО "Красцветмет"</t>
  </si>
  <si>
    <t>2451000818</t>
  </si>
  <si>
    <t>26818071</t>
  </si>
  <si>
    <t>ОАО "Полярная геологоразведочная экспедиция"</t>
  </si>
  <si>
    <t>2469001756</t>
  </si>
  <si>
    <t>246901001</t>
  </si>
  <si>
    <t>14-03-2011 00:00:00</t>
  </si>
  <si>
    <t>26619114</t>
  </si>
  <si>
    <t>ОАО "Птицефабрика Бархатовская"</t>
  </si>
  <si>
    <t>2404007196</t>
  </si>
  <si>
    <t>15-01-2006 00:00:00</t>
  </si>
  <si>
    <t>26375608</t>
  </si>
  <si>
    <t>ОАО "РЖД"</t>
  </si>
  <si>
    <t>246602001</t>
  </si>
  <si>
    <t>23-09-2003 00:00:00</t>
  </si>
  <si>
    <t>26499645</t>
  </si>
  <si>
    <t>ОАО "Таймыргеофизика"</t>
  </si>
  <si>
    <t>8400000578</t>
  </si>
  <si>
    <t>26535383</t>
  </si>
  <si>
    <t>ОАО "Туруханскэнерго"</t>
  </si>
  <si>
    <t>2437004384</t>
  </si>
  <si>
    <t>04-03-2010 00:00:00</t>
  </si>
  <si>
    <t>14-04-2023 00:00:00</t>
  </si>
  <si>
    <t>26501804</t>
  </si>
  <si>
    <t>ОАО Енисейская сплавная контора</t>
  </si>
  <si>
    <t>2454003341</t>
  </si>
  <si>
    <t>26501795</t>
  </si>
  <si>
    <t>ОАО Красноярскграфит</t>
  </si>
  <si>
    <t>2464075377</t>
  </si>
  <si>
    <t>26439125</t>
  </si>
  <si>
    <t>ОАО ПО "Красноярский завод комбайнов"</t>
  </si>
  <si>
    <t>2460053936</t>
  </si>
  <si>
    <t>19-09-2002 00:00:00</t>
  </si>
  <si>
    <t>26440737</t>
  </si>
  <si>
    <t>ОАО Племзавод "Красный Маяк"</t>
  </si>
  <si>
    <t>2450013518</t>
  </si>
  <si>
    <t>06-12-2002 00:00:00</t>
  </si>
  <si>
    <t>26499386</t>
  </si>
  <si>
    <t>ОАО Птицефабрика Заря</t>
  </si>
  <si>
    <t>2411015247</t>
  </si>
  <si>
    <t>26499253</t>
  </si>
  <si>
    <t>ОАО Санаторий Енисей</t>
  </si>
  <si>
    <t>2463026779</t>
  </si>
  <si>
    <t>28822262</t>
  </si>
  <si>
    <t>ООО  "ТЕПЛОВЫЕ СЕТИ"</t>
  </si>
  <si>
    <t>2452040490</t>
  </si>
  <si>
    <t>26371442</t>
  </si>
  <si>
    <t>ООО  УК "Энерготех"</t>
  </si>
  <si>
    <t>2457039314</t>
  </si>
  <si>
    <t>01-11-2002 00:00:00</t>
  </si>
  <si>
    <t>28507563</t>
  </si>
  <si>
    <t>ООО "Авангард"</t>
  </si>
  <si>
    <t>2435006308</t>
  </si>
  <si>
    <t>243001001</t>
  </si>
  <si>
    <t>31021405</t>
  </si>
  <si>
    <t>ООО "Агентство энергосберегающих  технологий"</t>
  </si>
  <si>
    <t>2459020213</t>
  </si>
  <si>
    <t>245901001</t>
  </si>
  <si>
    <t>30394103</t>
  </si>
  <si>
    <t>ООО "Агинское масло"</t>
  </si>
  <si>
    <t>2433004496</t>
  </si>
  <si>
    <t>30877331</t>
  </si>
  <si>
    <t>ООО "Агломерат"</t>
  </si>
  <si>
    <t>2426005019</t>
  </si>
  <si>
    <t>31466601</t>
  </si>
  <si>
    <t>ООО "Альянс Тепло Групп"</t>
  </si>
  <si>
    <t>2465194948</t>
  </si>
  <si>
    <t>31544084</t>
  </si>
  <si>
    <t>ООО "Ачинская РСК"</t>
  </si>
  <si>
    <t>2443041289</t>
  </si>
  <si>
    <t>26439187</t>
  </si>
  <si>
    <t>ООО "Ачинский районный жилищно-коммунальный сервис"</t>
  </si>
  <si>
    <t>2443033175</t>
  </si>
  <si>
    <t>27-02-2008 00:00:00</t>
  </si>
  <si>
    <t>27406055</t>
  </si>
  <si>
    <t>ООО "Аэропорт Емельяново"</t>
  </si>
  <si>
    <t>2460213509</t>
  </si>
  <si>
    <t>26503613</t>
  </si>
  <si>
    <t>ООО "Безымянское"</t>
  </si>
  <si>
    <t>2447009293</t>
  </si>
  <si>
    <t>26499292</t>
  </si>
  <si>
    <t>ООО "Богучанские тепловые сети"</t>
  </si>
  <si>
    <t>2407061522</t>
  </si>
  <si>
    <t>240701001</t>
  </si>
  <si>
    <t>26440804</t>
  </si>
  <si>
    <t>ООО "Браженский ЖЭК"</t>
  </si>
  <si>
    <t>2450024090</t>
  </si>
  <si>
    <t>06-12-2007 00:00:00</t>
  </si>
  <si>
    <t>17-11-2023 00:00:00</t>
  </si>
  <si>
    <t>28942268</t>
  </si>
  <si>
    <t>ООО "ВанавараЭнергоком"</t>
  </si>
  <si>
    <t>7701972840</t>
  </si>
  <si>
    <t>247001001</t>
  </si>
  <si>
    <t>27581274</t>
  </si>
  <si>
    <t>ООО "Вега"</t>
  </si>
  <si>
    <t>2458009841</t>
  </si>
  <si>
    <t>26499268</t>
  </si>
  <si>
    <t>ООО "Водоканал Абанского района"</t>
  </si>
  <si>
    <t>2401003997</t>
  </si>
  <si>
    <t>240101001</t>
  </si>
  <si>
    <t>30396854</t>
  </si>
  <si>
    <t>ООО "Восточно-сибирские коммунальные системы"</t>
  </si>
  <si>
    <t>2465279302</t>
  </si>
  <si>
    <t>30866973</t>
  </si>
  <si>
    <t>ООО "Гарант"</t>
  </si>
  <si>
    <t>2440007829</t>
  </si>
  <si>
    <t>28819896</t>
  </si>
  <si>
    <t>ООО "Генерация Т"</t>
  </si>
  <si>
    <t>2464262923</t>
  </si>
  <si>
    <t>30844102</t>
  </si>
  <si>
    <t>ООО "Гляденское хлебоприемное"</t>
  </si>
  <si>
    <t>2427001578</t>
  </si>
  <si>
    <t>31543718</t>
  </si>
  <si>
    <t>ООО "Гранд"</t>
  </si>
  <si>
    <t>2444003060</t>
  </si>
  <si>
    <t>30394891</t>
  </si>
  <si>
    <t>ООО "ДОМСЕРВИС"</t>
  </si>
  <si>
    <t>2440007850</t>
  </si>
  <si>
    <t>30357098</t>
  </si>
  <si>
    <t>ООО "Емельяновский коммунальный комплекс"</t>
  </si>
  <si>
    <t>2411025044</t>
  </si>
  <si>
    <t>28860749</t>
  </si>
  <si>
    <t>ООО "Енисейэнергоком"</t>
  </si>
  <si>
    <t>2447012666</t>
  </si>
  <si>
    <t>26499628</t>
  </si>
  <si>
    <t>ООО "Ермак"</t>
  </si>
  <si>
    <t>2455017724</t>
  </si>
  <si>
    <t>26440743</t>
  </si>
  <si>
    <t>ООО "ЖКС Чечеульский"</t>
  </si>
  <si>
    <t>2450024069</t>
  </si>
  <si>
    <t>30-11-2007 00:00:00</t>
  </si>
  <si>
    <t>30-10-2023 00:00:00</t>
  </si>
  <si>
    <t>26499264</t>
  </si>
  <si>
    <t>ООО "ЖКХ Абанского района"</t>
  </si>
  <si>
    <t>2401004101</t>
  </si>
  <si>
    <t>28980819</t>
  </si>
  <si>
    <t>ООО "ЖКХ Большеуринское"</t>
  </si>
  <si>
    <t>2450031482</t>
  </si>
  <si>
    <t>28152580</t>
  </si>
  <si>
    <t>ООО "ЖКХ ЛДК №1"</t>
  </si>
  <si>
    <t>2454022810</t>
  </si>
  <si>
    <t>30400535</t>
  </si>
  <si>
    <t>ООО "ЖКХ Маринино"</t>
  </si>
  <si>
    <t>2423014368</t>
  </si>
  <si>
    <t>30849939</t>
  </si>
  <si>
    <t>ООО "ЖКХ Ужурского района"</t>
  </si>
  <si>
    <t>2439008377</t>
  </si>
  <si>
    <t>30870094</t>
  </si>
  <si>
    <t>ООО "ЖКХ Чечеульское"</t>
  </si>
  <si>
    <t>2450031637</t>
  </si>
  <si>
    <t>31387827</t>
  </si>
  <si>
    <t>ООО "ЖЭК"</t>
  </si>
  <si>
    <t>2450035494</t>
  </si>
  <si>
    <t>26371340</t>
  </si>
  <si>
    <t>ООО "Жилбытсервис"</t>
  </si>
  <si>
    <t>2405415543</t>
  </si>
  <si>
    <t>240541001</t>
  </si>
  <si>
    <t>18-07-2006 00:00:00</t>
  </si>
  <si>
    <t>26371450</t>
  </si>
  <si>
    <t>ООО "Жилищный трест"</t>
  </si>
  <si>
    <t>2457055612</t>
  </si>
  <si>
    <t>23-03-2004 00:00:00</t>
  </si>
  <si>
    <t>26558541</t>
  </si>
  <si>
    <t>ООО "Жилпрогресс-1"</t>
  </si>
  <si>
    <t>2424007395</t>
  </si>
  <si>
    <t>20-05-2008 00:00:00</t>
  </si>
  <si>
    <t>28030380</t>
  </si>
  <si>
    <t>ООО "Жилье"</t>
  </si>
  <si>
    <t>2407062290</t>
  </si>
  <si>
    <t>26442371</t>
  </si>
  <si>
    <t>ООО "Золотой век"</t>
  </si>
  <si>
    <t>2459010960</t>
  </si>
  <si>
    <t>04-10-2002 00:00:00</t>
  </si>
  <si>
    <t>10-03-2023 00:00:00</t>
  </si>
  <si>
    <t>31030689</t>
  </si>
  <si>
    <t>ООО "ИСК"</t>
  </si>
  <si>
    <t>2450034028</t>
  </si>
  <si>
    <t>28458971</t>
  </si>
  <si>
    <t>ООО "Ирбейский коммунальный комплекс"</t>
  </si>
  <si>
    <t>2416006052</t>
  </si>
  <si>
    <t>27552030</t>
  </si>
  <si>
    <t>ООО "КРАСЭКО-ЭЛЕКТРО"</t>
  </si>
  <si>
    <t>2460225783</t>
  </si>
  <si>
    <t>25-10-2016 00:00:00</t>
  </si>
  <si>
    <t>30405568</t>
  </si>
  <si>
    <t>ООО "КЭСКО"</t>
  </si>
  <si>
    <t>2466229600</t>
  </si>
  <si>
    <t>26440727</t>
  </si>
  <si>
    <t>ООО "Казачинский теплоэнергокомплекс"</t>
  </si>
  <si>
    <t>2417002981</t>
  </si>
  <si>
    <t>241701001</t>
  </si>
  <si>
    <t>03-11-2005 00:00:00</t>
  </si>
  <si>
    <t>31512463</t>
  </si>
  <si>
    <t>ООО "Канифольнинский Коммунальный Комплекс"</t>
  </si>
  <si>
    <t>2428005575</t>
  </si>
  <si>
    <t>26371377</t>
  </si>
  <si>
    <t>ООО "Канифольнинский коммунальный комплекс"</t>
  </si>
  <si>
    <t>2428004780</t>
  </si>
  <si>
    <t>25-06-2003 00:00:00</t>
  </si>
  <si>
    <t>26440820</t>
  </si>
  <si>
    <t>ООО "Каратузский Тепло Водо Канал"</t>
  </si>
  <si>
    <t>2419005466</t>
  </si>
  <si>
    <t>241901001</t>
  </si>
  <si>
    <t>27-05-2009 00:00:00</t>
  </si>
  <si>
    <t>28873104</t>
  </si>
  <si>
    <t>ООО "Квант-2"</t>
  </si>
  <si>
    <t>2413007354</t>
  </si>
  <si>
    <t>241301001</t>
  </si>
  <si>
    <t>27581008</t>
  </si>
  <si>
    <t>ООО "КоммунСтройСервис"</t>
  </si>
  <si>
    <t>2409000116</t>
  </si>
  <si>
    <t>26371369</t>
  </si>
  <si>
    <t>ООО "Коммунальное хозяйство"</t>
  </si>
  <si>
    <t>2424005824</t>
  </si>
  <si>
    <t>01-08-2006 00:00:00</t>
  </si>
  <si>
    <t>26440770</t>
  </si>
  <si>
    <t>ООО "Коммунальщик" Канский район</t>
  </si>
  <si>
    <t>2450024774</t>
  </si>
  <si>
    <t>13-07-2009 00:00:00</t>
  </si>
  <si>
    <t>26503249</t>
  </si>
  <si>
    <t>ООО "Коммунальщик" Тюхтетский район</t>
  </si>
  <si>
    <t>2438301020</t>
  </si>
  <si>
    <t>243801001</t>
  </si>
  <si>
    <t>26371339</t>
  </si>
  <si>
    <t>ООО "Коммунсервис"</t>
  </si>
  <si>
    <t>2405415102</t>
  </si>
  <si>
    <t>240501001</t>
  </si>
  <si>
    <t>27-06-2003 00:00:00</t>
  </si>
  <si>
    <t>26-09-2023 00:00:00</t>
  </si>
  <si>
    <t>31261703</t>
  </si>
  <si>
    <t>ООО "Комфорт"</t>
  </si>
  <si>
    <t>2424007941</t>
  </si>
  <si>
    <t>28459926</t>
  </si>
  <si>
    <t>ООО "Комфорт+"</t>
  </si>
  <si>
    <t>2405000186</t>
  </si>
  <si>
    <t>28030432</t>
  </si>
  <si>
    <t>ООО "Кошурниковские Энергосети"</t>
  </si>
  <si>
    <t>2423013879</t>
  </si>
  <si>
    <t>30388753</t>
  </si>
  <si>
    <t>ООО "Крайснабсбыт"</t>
  </si>
  <si>
    <t>2466126517</t>
  </si>
  <si>
    <t>26439096</t>
  </si>
  <si>
    <t>ООО "Крамз"</t>
  </si>
  <si>
    <t>2465043748</t>
  </si>
  <si>
    <t>16-10-2002 00:00:00</t>
  </si>
  <si>
    <t>26501769</t>
  </si>
  <si>
    <t>ООО "КрасТЭК"</t>
  </si>
  <si>
    <t>2460062553</t>
  </si>
  <si>
    <t>26815563</t>
  </si>
  <si>
    <t>ООО "Краснокаменские энергосети"</t>
  </si>
  <si>
    <t>2423011350</t>
  </si>
  <si>
    <t>28054332</t>
  </si>
  <si>
    <t>ООО "Красноярская Сетевая Компания"</t>
  </si>
  <si>
    <t>2461215594</t>
  </si>
  <si>
    <t>246101001</t>
  </si>
  <si>
    <t>26320127</t>
  </si>
  <si>
    <t>ООО "Красноярский жилищно-коммунальный комплекс"</t>
  </si>
  <si>
    <t>2466114215</t>
  </si>
  <si>
    <t>30396331</t>
  </si>
  <si>
    <t>ООО "Красноярскэнергоуголь"</t>
  </si>
  <si>
    <t>2460245660</t>
  </si>
  <si>
    <t>30877304</t>
  </si>
  <si>
    <t>ООО "Кратэк-Инвест"</t>
  </si>
  <si>
    <t>2424007652</t>
  </si>
  <si>
    <t>30870364</t>
  </si>
  <si>
    <t>ООО "Кровтэкс"</t>
  </si>
  <si>
    <t>2452026311</t>
  </si>
  <si>
    <t>20-10-2023 00:00:00</t>
  </si>
  <si>
    <t>30941684</t>
  </si>
  <si>
    <t>ООО "Культурно-творческое объединение Магистраль Плюс"</t>
  </si>
  <si>
    <t>2466158340</t>
  </si>
  <si>
    <t>26440874</t>
  </si>
  <si>
    <t>ООО "Курагинский ТеплоВодоКанал"</t>
  </si>
  <si>
    <t>2423010726</t>
  </si>
  <si>
    <t>24-10-2005 00:00:00</t>
  </si>
  <si>
    <t>28822121</t>
  </si>
  <si>
    <t>ООО "Лагуна"</t>
  </si>
  <si>
    <t>2440004803</t>
  </si>
  <si>
    <t>28903640</t>
  </si>
  <si>
    <t>ООО "Лемма"</t>
  </si>
  <si>
    <t>2464246777</t>
  </si>
  <si>
    <t>30876429</t>
  </si>
  <si>
    <t>ООО "Лессервис"</t>
  </si>
  <si>
    <t>2407065380</t>
  </si>
  <si>
    <t>31464343</t>
  </si>
  <si>
    <t>ООО "Люкс"</t>
  </si>
  <si>
    <t>2464121305</t>
  </si>
  <si>
    <t>31486288</t>
  </si>
  <si>
    <t>ООО "Манская теплоснабжающая компания"</t>
  </si>
  <si>
    <t>2430003695</t>
  </si>
  <si>
    <t>31253189</t>
  </si>
  <si>
    <t>ООО "Модульная котельная установка"</t>
  </si>
  <si>
    <t>2454028106</t>
  </si>
  <si>
    <t>27341549</t>
  </si>
  <si>
    <t>ООО "НЖЭК"</t>
  </si>
  <si>
    <t>2457070804</t>
  </si>
  <si>
    <t>30892353</t>
  </si>
  <si>
    <t>ООО "Новые технологии и коммуникации"</t>
  </si>
  <si>
    <t>2423012956</t>
  </si>
  <si>
    <t>26535697</t>
  </si>
  <si>
    <t>ООО "Новые технологии"</t>
  </si>
  <si>
    <t>2465218691</t>
  </si>
  <si>
    <t>26371445</t>
  </si>
  <si>
    <t>ООО "Нордсервис"</t>
  </si>
  <si>
    <t>2457046449</t>
  </si>
  <si>
    <t>10-10-2002 00:00:00</t>
  </si>
  <si>
    <t>31383444</t>
  </si>
  <si>
    <t>ООО "ПСК"</t>
  </si>
  <si>
    <t>2430003448</t>
  </si>
  <si>
    <t>26500188</t>
  </si>
  <si>
    <t>ООО "Первомайское ЖКХ"</t>
  </si>
  <si>
    <t>2426003903</t>
  </si>
  <si>
    <t>26642168</t>
  </si>
  <si>
    <t>ООО "Племзавод "Таежный"</t>
  </si>
  <si>
    <t>2435006435</t>
  </si>
  <si>
    <t>26318673</t>
  </si>
  <si>
    <t>ООО "Потапово"</t>
  </si>
  <si>
    <t>8401009157</t>
  </si>
  <si>
    <t>30869026</t>
  </si>
  <si>
    <t>ООО "Поток"</t>
  </si>
  <si>
    <t>2420200214</t>
  </si>
  <si>
    <t>27505383</t>
  </si>
  <si>
    <t>ООО "Пром-Строй Ресурс"</t>
  </si>
  <si>
    <t>2443040535</t>
  </si>
  <si>
    <t>28448191</t>
  </si>
  <si>
    <t>ООО "ПромЛизинг"</t>
  </si>
  <si>
    <t>2464020258</t>
  </si>
  <si>
    <t>26371333</t>
  </si>
  <si>
    <t>ООО "Промбытжилсервис"</t>
  </si>
  <si>
    <t>2401002496</t>
  </si>
  <si>
    <t>28-09-2006 00:00:00</t>
  </si>
  <si>
    <t>26499382</t>
  </si>
  <si>
    <t>ООО "Промтеплоэнерго"</t>
  </si>
  <si>
    <t>2456011468</t>
  </si>
  <si>
    <t>26379408</t>
  </si>
  <si>
    <t>ООО "Районное коммунальное хозяйство"</t>
  </si>
  <si>
    <t>2443031594</t>
  </si>
  <si>
    <t>01-08-2007 00:00:00</t>
  </si>
  <si>
    <t>26503742</t>
  </si>
  <si>
    <t>ООО "Районное коммунальное хозяйство" Назаровского района</t>
  </si>
  <si>
    <t>2456013264</t>
  </si>
  <si>
    <t>26503635</t>
  </si>
  <si>
    <t>ООО "Региональная тепловая компания"</t>
  </si>
  <si>
    <t>2411014638</t>
  </si>
  <si>
    <t>31714006</t>
  </si>
  <si>
    <t>ООО "Региональная энергосберегающая организация"</t>
  </si>
  <si>
    <t>2443053703</t>
  </si>
  <si>
    <t>30791845</t>
  </si>
  <si>
    <t>ООО "Ресурс"</t>
  </si>
  <si>
    <t>2450032310</t>
  </si>
  <si>
    <t>26442552</t>
  </si>
  <si>
    <t>ООО "Ритм"</t>
  </si>
  <si>
    <t>2430003247</t>
  </si>
  <si>
    <t>26-03-2008 00:00:00</t>
  </si>
  <si>
    <t>26442377</t>
  </si>
  <si>
    <t>ООО "Родник"</t>
  </si>
  <si>
    <t>2459015911</t>
  </si>
  <si>
    <t>15-04-2008 00:00:00</t>
  </si>
  <si>
    <t>28943113</t>
  </si>
  <si>
    <t>ООО "СИБ-ЭНЕРГО"</t>
  </si>
  <si>
    <t>2423014495</t>
  </si>
  <si>
    <t>31269486</t>
  </si>
  <si>
    <t>ООО "СИБЭНЕРГОТЕПЛО"</t>
  </si>
  <si>
    <t>2463233790</t>
  </si>
  <si>
    <t>28828688</t>
  </si>
  <si>
    <t>ООО "СКС"</t>
  </si>
  <si>
    <t>2463212510</t>
  </si>
  <si>
    <t>31348713</t>
  </si>
  <si>
    <t>ООО "СТК"</t>
  </si>
  <si>
    <t>2411029169</t>
  </si>
  <si>
    <t>26442593</t>
  </si>
  <si>
    <t>ООО "Саяны"</t>
  </si>
  <si>
    <t>2430003215</t>
  </si>
  <si>
    <t>29-02-2008 00:00:00</t>
  </si>
  <si>
    <t>28155914</t>
  </si>
  <si>
    <t>ООО "Северный город"</t>
  </si>
  <si>
    <t>2464106177</t>
  </si>
  <si>
    <t>28046490</t>
  </si>
  <si>
    <t>ООО "СеверныйБыт"</t>
  </si>
  <si>
    <t>2457072713</t>
  </si>
  <si>
    <t>30992667</t>
  </si>
  <si>
    <t>ООО "Сетевая компания"</t>
  </si>
  <si>
    <t>2465152673</t>
  </si>
  <si>
    <t>31586600</t>
  </si>
  <si>
    <t>ООО "Сибирская коммунальная компания"</t>
  </si>
  <si>
    <t>2448006746</t>
  </si>
  <si>
    <t>30914568</t>
  </si>
  <si>
    <t>ООО "Сибирский ТеплоЭнергетический Комплекс"</t>
  </si>
  <si>
    <t>2426005386</t>
  </si>
  <si>
    <t>31668784</t>
  </si>
  <si>
    <t>ООО "Сибирский коммунальный сервис"</t>
  </si>
  <si>
    <t>2466199804</t>
  </si>
  <si>
    <t>30394287</t>
  </si>
  <si>
    <t>ООО "Скиф"</t>
  </si>
  <si>
    <t>2469002502</t>
  </si>
  <si>
    <t>31578140</t>
  </si>
  <si>
    <t>ООО "Стимул"</t>
  </si>
  <si>
    <t>2461034492</t>
  </si>
  <si>
    <t>26442597</t>
  </si>
  <si>
    <t>ООО "Стратегия Норд"</t>
  </si>
  <si>
    <t>2454017506</t>
  </si>
  <si>
    <t>23-01-2007 00:00:00</t>
  </si>
  <si>
    <t>28457697</t>
  </si>
  <si>
    <t>ООО "Стройводхоз"</t>
  </si>
  <si>
    <t>2450029557</t>
  </si>
  <si>
    <t>07-11-2023 00:00:00</t>
  </si>
  <si>
    <t>31545304</t>
  </si>
  <si>
    <t>ООО "Сфера"</t>
  </si>
  <si>
    <t>2460082302</t>
  </si>
  <si>
    <t>30394875</t>
  </si>
  <si>
    <t>ООО "ТЕПЛОГЕНЕРАЦИЯ"</t>
  </si>
  <si>
    <t>2465126264</t>
  </si>
  <si>
    <t>30915197</t>
  </si>
  <si>
    <t>ООО "ТЕПЛОСЕРВИС"</t>
  </si>
  <si>
    <t>2465152264</t>
  </si>
  <si>
    <t>31346238</t>
  </si>
  <si>
    <t>ООО "ТК Восток"</t>
  </si>
  <si>
    <t>2443050526</t>
  </si>
  <si>
    <t>28055641</t>
  </si>
  <si>
    <t>ООО "Таёжное"</t>
  </si>
  <si>
    <t>2450028715</t>
  </si>
  <si>
    <t>30394295</t>
  </si>
  <si>
    <t>ООО "Таймырэнергоресурс"</t>
  </si>
  <si>
    <t>2469002679</t>
  </si>
  <si>
    <t>26371448</t>
  </si>
  <si>
    <t>ООО "Талнахбыт"</t>
  </si>
  <si>
    <t>2457047435</t>
  </si>
  <si>
    <t>20-08-2002 00:00:00</t>
  </si>
  <si>
    <t>31261692</t>
  </si>
  <si>
    <t>ООО "Тепло"</t>
  </si>
  <si>
    <t>2404020292</t>
  </si>
  <si>
    <t>26501819</t>
  </si>
  <si>
    <t>2456010986</t>
  </si>
  <si>
    <t>28255760</t>
  </si>
  <si>
    <t>ООО "Тепло-Сбыт"</t>
  </si>
  <si>
    <t>2464242910</t>
  </si>
  <si>
    <t>27-10-2023 00:00:00</t>
  </si>
  <si>
    <t>31511411</t>
  </si>
  <si>
    <t>ООО "ТеплоСервис"</t>
  </si>
  <si>
    <t>2407007437</t>
  </si>
  <si>
    <t>31255752</t>
  </si>
  <si>
    <t>ООО "ТеплоХод"</t>
  </si>
  <si>
    <t>2440008188</t>
  </si>
  <si>
    <t>26621021</t>
  </si>
  <si>
    <t>ООО "Тепловик 2"</t>
  </si>
  <si>
    <t>2413006167</t>
  </si>
  <si>
    <t>26769136</t>
  </si>
  <si>
    <t>ООО "Тепловые сети"</t>
  </si>
  <si>
    <t>2429002810</t>
  </si>
  <si>
    <t>31269022</t>
  </si>
  <si>
    <t>2463251380</t>
  </si>
  <si>
    <t>26379369</t>
  </si>
  <si>
    <t>ООО "Теплосбыт"</t>
  </si>
  <si>
    <t>2405415832</t>
  </si>
  <si>
    <t>09-06-2008 00:00:00</t>
  </si>
  <si>
    <t>30365027</t>
  </si>
  <si>
    <t>ООО "Теплосеть"</t>
  </si>
  <si>
    <t>2413007717</t>
  </si>
  <si>
    <t>11-01-2023 00:00:00</t>
  </si>
  <si>
    <t>30867022</t>
  </si>
  <si>
    <t>ООО "Теплоэнергетик"</t>
  </si>
  <si>
    <t>2465129995</t>
  </si>
  <si>
    <t>31543514</t>
  </si>
  <si>
    <t>ООО "Теплоэнергоресурс"</t>
  </si>
  <si>
    <t>2405000612</t>
  </si>
  <si>
    <t>28494698</t>
  </si>
  <si>
    <t>ООО "Территория"</t>
  </si>
  <si>
    <t>2459017901</t>
  </si>
  <si>
    <t>26621017</t>
  </si>
  <si>
    <t>ООО "Топаз"</t>
  </si>
  <si>
    <t>2413006600</t>
  </si>
  <si>
    <t>30844354</t>
  </si>
  <si>
    <t>ООО "ТуруханскЭнергоком"</t>
  </si>
  <si>
    <t>2437005236</t>
  </si>
  <si>
    <t>28873927</t>
  </si>
  <si>
    <t>ООО "УК "Городок"</t>
  </si>
  <si>
    <t>2411023174</t>
  </si>
  <si>
    <t>26760577</t>
  </si>
  <si>
    <t>ООО "УК"Заказчик ЖКУ"</t>
  </si>
  <si>
    <t>2404012340</t>
  </si>
  <si>
    <t>25-10-2010 00:00:00</t>
  </si>
  <si>
    <t>26499630</t>
  </si>
  <si>
    <t>ООО "Ужурское ЖКХ"</t>
  </si>
  <si>
    <t>2439006394</t>
  </si>
  <si>
    <t>26499333</t>
  </si>
  <si>
    <t>ООО "Улуйское"</t>
  </si>
  <si>
    <t>2409700541</t>
  </si>
  <si>
    <t>31000975</t>
  </si>
  <si>
    <t>ООО "Универсал"</t>
  </si>
  <si>
    <t>2443049305</t>
  </si>
  <si>
    <t>28-06-2023 00:00:00</t>
  </si>
  <si>
    <t>26515079</t>
  </si>
  <si>
    <t>ООО "Уральские тепловые сети"</t>
  </si>
  <si>
    <t>2448004562</t>
  </si>
  <si>
    <t>19-12-2007 00:00:00</t>
  </si>
  <si>
    <t>26501775</t>
  </si>
  <si>
    <t>ООО "ФармЭнерго"</t>
  </si>
  <si>
    <t>2464215761</t>
  </si>
  <si>
    <t>02-09-2002 00:00:00</t>
  </si>
  <si>
    <t>30876897</t>
  </si>
  <si>
    <t>ООО "Феникс"</t>
  </si>
  <si>
    <t>2465145130</t>
  </si>
  <si>
    <t>30388708</t>
  </si>
  <si>
    <t>ООО "Филимоновские теплосети"</t>
  </si>
  <si>
    <t>2450029525</t>
  </si>
  <si>
    <t>26768848</t>
  </si>
  <si>
    <t>ООО "Фиштраст"</t>
  </si>
  <si>
    <t>2433003862</t>
  </si>
  <si>
    <t>31647141</t>
  </si>
  <si>
    <t>ООО "ЦРКТ"</t>
  </si>
  <si>
    <t>2466262750</t>
  </si>
  <si>
    <t>26501763</t>
  </si>
  <si>
    <t>ООО "Шиноремонтный завод"</t>
  </si>
  <si>
    <t>2460044402</t>
  </si>
  <si>
    <t>30850954</t>
  </si>
  <si>
    <t>ООО "ЭТС"</t>
  </si>
  <si>
    <t>2465299958</t>
  </si>
  <si>
    <t>28496259</t>
  </si>
  <si>
    <t>ООО "ЭлТЭК"</t>
  </si>
  <si>
    <t>2460207047</t>
  </si>
  <si>
    <t>26517781</t>
  </si>
  <si>
    <t>ООО "Электросан"</t>
  </si>
  <si>
    <t>2462003384</t>
  </si>
  <si>
    <t>10-04-1992 00:00:00</t>
  </si>
  <si>
    <t>26320132</t>
  </si>
  <si>
    <t>ООО "Электросеть" с. Дзержинское</t>
  </si>
  <si>
    <t>2410000946</t>
  </si>
  <si>
    <t>30394264</t>
  </si>
  <si>
    <t>ООО "Энергия"</t>
  </si>
  <si>
    <t>2411024040</t>
  </si>
  <si>
    <t>20-02-2014 00:00:00</t>
  </si>
  <si>
    <t>26763092</t>
  </si>
  <si>
    <t>2426004713</t>
  </si>
  <si>
    <t>31606118</t>
  </si>
  <si>
    <t>2443052347</t>
  </si>
  <si>
    <t>26442617</t>
  </si>
  <si>
    <t>ООО "Энергопром"</t>
  </si>
  <si>
    <t>2449002945</t>
  </si>
  <si>
    <t>244901001</t>
  </si>
  <si>
    <t>27-08-2008 00:00:00</t>
  </si>
  <si>
    <t>31034569</t>
  </si>
  <si>
    <t>ООО "Энергорезерв"</t>
  </si>
  <si>
    <t>2465228019</t>
  </si>
  <si>
    <t>26501777</t>
  </si>
  <si>
    <t>ООО "Энергоцентр"</t>
  </si>
  <si>
    <t>2464104691</t>
  </si>
  <si>
    <t>28030650</t>
  </si>
  <si>
    <t>ООО «Атланта Красноярск»</t>
  </si>
  <si>
    <t>2466226279</t>
  </si>
  <si>
    <t>31634881</t>
  </si>
  <si>
    <t>ООО «Ачинская районная снабжающая компания»</t>
  </si>
  <si>
    <t>2443053020</t>
  </si>
  <si>
    <t>31544108</t>
  </si>
  <si>
    <t>ООО «КЭС»</t>
  </si>
  <si>
    <t>2411030823</t>
  </si>
  <si>
    <t>31559235</t>
  </si>
  <si>
    <t>ООО «МДМ Девелопмент»</t>
  </si>
  <si>
    <t>2464244579</t>
  </si>
  <si>
    <t>30877494</t>
  </si>
  <si>
    <t>ООО «РТК-Генерация»</t>
  </si>
  <si>
    <t>2411025781</t>
  </si>
  <si>
    <t>29650405</t>
  </si>
  <si>
    <t>ООО «Саянтеплоресурс»</t>
  </si>
  <si>
    <t>2433004506</t>
  </si>
  <si>
    <t>26499626</t>
  </si>
  <si>
    <t>ООО «Свет»</t>
  </si>
  <si>
    <t>2455026165</t>
  </si>
  <si>
    <t>31446510</t>
  </si>
  <si>
    <t>ООО «Сфера и К»</t>
  </si>
  <si>
    <t>2466251250</t>
  </si>
  <si>
    <t>31698236</t>
  </si>
  <si>
    <t>ООО «ТВР»</t>
  </si>
  <si>
    <t>2443053830</t>
  </si>
  <si>
    <t>31716171</t>
  </si>
  <si>
    <t>ООО «ТЕПЛОГАРАНТ»</t>
  </si>
  <si>
    <t>2465340740</t>
  </si>
  <si>
    <t>30855325</t>
  </si>
  <si>
    <t>ООО «ТЭК 45»</t>
  </si>
  <si>
    <t>2453020070</t>
  </si>
  <si>
    <t>28037482</t>
  </si>
  <si>
    <t>ООО «Тепловая энергетическая компания»</t>
  </si>
  <si>
    <t>2462206835</t>
  </si>
  <si>
    <t>28536530</t>
  </si>
  <si>
    <t>ООО «Теплосеть»</t>
  </si>
  <si>
    <t>4701005692</t>
  </si>
  <si>
    <t>31670756</t>
  </si>
  <si>
    <t>ООО «Теплоэкспресс»</t>
  </si>
  <si>
    <t>2465304566</t>
  </si>
  <si>
    <t>26499337</t>
  </si>
  <si>
    <t>ООО «Теплоэнергетический комплекс» города Боготола</t>
  </si>
  <si>
    <t>2444000486</t>
  </si>
  <si>
    <t>28979768</t>
  </si>
  <si>
    <t>ООО «Управление Ресурсами»</t>
  </si>
  <si>
    <t>2411025397</t>
  </si>
  <si>
    <t>30998063</t>
  </si>
  <si>
    <t>ООО «Уральский коммунальный комплекс»</t>
  </si>
  <si>
    <t>2448006633</t>
  </si>
  <si>
    <t>27970756</t>
  </si>
  <si>
    <t>ООО Агрокомплект</t>
  </si>
  <si>
    <t>2465273090</t>
  </si>
  <si>
    <t>31391348</t>
  </si>
  <si>
    <t>ООО ГК "Водоканал"</t>
  </si>
  <si>
    <t>2428002817</t>
  </si>
  <si>
    <t>26503208</t>
  </si>
  <si>
    <t>ООО ЖКК Солянский</t>
  </si>
  <si>
    <t>2448005206</t>
  </si>
  <si>
    <t>16-06-2009 00:00:00</t>
  </si>
  <si>
    <t>26619052</t>
  </si>
  <si>
    <t>ООО ЖКХ "Приморье"</t>
  </si>
  <si>
    <t>2403007059</t>
  </si>
  <si>
    <t>19-05-2005 00:00:00</t>
  </si>
  <si>
    <t>26501783</t>
  </si>
  <si>
    <t>ООО Курорт Озеро Учум</t>
  </si>
  <si>
    <t>2463061773</t>
  </si>
  <si>
    <t>31647006</t>
  </si>
  <si>
    <t>ООО РКЦ «Ресурс»</t>
  </si>
  <si>
    <t>2443052900</t>
  </si>
  <si>
    <t>26501300</t>
  </si>
  <si>
    <t>ООО Рыбинский КК</t>
  </si>
  <si>
    <t>2448005277</t>
  </si>
  <si>
    <t>12-08-2010 00:00:00</t>
  </si>
  <si>
    <t>28031514</t>
  </si>
  <si>
    <t>ООО СК "Вектор"</t>
  </si>
  <si>
    <t>2465280548</t>
  </si>
  <si>
    <t>26501120</t>
  </si>
  <si>
    <t>ООО Совхоз Елисеевский</t>
  </si>
  <si>
    <t>2416005771</t>
  </si>
  <si>
    <t>31433739</t>
  </si>
  <si>
    <t>ООО ТМ-Прогресс</t>
  </si>
  <si>
    <t>2463245428</t>
  </si>
  <si>
    <t>26499641</t>
  </si>
  <si>
    <t>ООО Тепло-Сбыт-Сервис</t>
  </si>
  <si>
    <t>2450012842</t>
  </si>
  <si>
    <t>26501668</t>
  </si>
  <si>
    <t>ООО Теплосервис</t>
  </si>
  <si>
    <t>2450025753</t>
  </si>
  <si>
    <t>28049092</t>
  </si>
  <si>
    <t>ООО УК "Альянсспецстрой"</t>
  </si>
  <si>
    <t>2443009422</t>
  </si>
  <si>
    <t>31261686</t>
  </si>
  <si>
    <t>ООО УК "Сосны"</t>
  </si>
  <si>
    <t>2466129780</t>
  </si>
  <si>
    <t>26760283</t>
  </si>
  <si>
    <t>ООО УК «НКС»</t>
  </si>
  <si>
    <t>2426004826</t>
  </si>
  <si>
    <t>28932286</t>
  </si>
  <si>
    <t>ООО УК Богучанжилкомхоз</t>
  </si>
  <si>
    <t>2407061346</t>
  </si>
  <si>
    <t>26502778</t>
  </si>
  <si>
    <t>ООО Электросантехсервис</t>
  </si>
  <si>
    <t>2423009417</t>
  </si>
  <si>
    <t>26-06-2023 00:00:00</t>
  </si>
  <si>
    <t>31711330</t>
  </si>
  <si>
    <t>Общество с ограниченной ответственностью "Решения"</t>
  </si>
  <si>
    <t>2466164583</t>
  </si>
  <si>
    <t>27676645</t>
  </si>
  <si>
    <t>ПАО "РусГидро"</t>
  </si>
  <si>
    <t>2460066195</t>
  </si>
  <si>
    <t>997650001</t>
  </si>
  <si>
    <t>13-07-2011 00:00:00</t>
  </si>
  <si>
    <t>26445111</t>
  </si>
  <si>
    <t>26502719</t>
  </si>
  <si>
    <t>Решотинский шпалопропиточный завод - филиал АО "ТрансВудСервис"</t>
  </si>
  <si>
    <t>7708670340</t>
  </si>
  <si>
    <t>242802001</t>
  </si>
  <si>
    <t>26502891</t>
  </si>
  <si>
    <t>СХП ЗАО "Владимировское"</t>
  </si>
  <si>
    <t>2427000567</t>
  </si>
  <si>
    <t>26820222</t>
  </si>
  <si>
    <t>ФБУ "Объединение исправительных учреждений №26" ГУФСИН по Красноярскому краю</t>
  </si>
  <si>
    <t>2407011169</t>
  </si>
  <si>
    <t>26501676</t>
  </si>
  <si>
    <t>ФБУ ОИУ-1 ОУХД ГУФСИН России по Красн краю</t>
  </si>
  <si>
    <t>2420006496</t>
  </si>
  <si>
    <t>26501773</t>
  </si>
  <si>
    <t>ФГАОУ ВПО "Сибирский федеральный университет"</t>
  </si>
  <si>
    <t>2463011853</t>
  </si>
  <si>
    <t>246331001</t>
  </si>
  <si>
    <t>30903763</t>
  </si>
  <si>
    <t>ФГБУ "ЦЖКУ" МИНОБОРОНЫ РОССИИ</t>
  </si>
  <si>
    <t>7729314745</t>
  </si>
  <si>
    <t>770101001</t>
  </si>
  <si>
    <t>26371424</t>
  </si>
  <si>
    <t>ФГУП "Горно-химический комбинат"</t>
  </si>
  <si>
    <t>2452000401</t>
  </si>
  <si>
    <t>05-08-2002 00:00:00</t>
  </si>
  <si>
    <t>26439113</t>
  </si>
  <si>
    <t>ФГУП ПО Красноярский химический комбинат "Енисей"</t>
  </si>
  <si>
    <t>2451000046</t>
  </si>
  <si>
    <t>30-09-2002 00:00:00</t>
  </si>
  <si>
    <t>30400530</t>
  </si>
  <si>
    <t>ФКУ "Колония-поселение №10 с ОУХД ГУ ФСИН по Красноярскому краю"</t>
  </si>
  <si>
    <t>3817020666</t>
  </si>
  <si>
    <t>381701001</t>
  </si>
  <si>
    <t>26499643</t>
  </si>
  <si>
    <t>ФКУ ИК-16 ГУФСИН России по Красноярскому краю</t>
  </si>
  <si>
    <t>2440004602</t>
  </si>
  <si>
    <t>31711174</t>
  </si>
  <si>
    <t>ФКУ ИК-42 ОУХД ГУФСИН России по Красноярскому краю</t>
  </si>
  <si>
    <t>240701002</t>
  </si>
  <si>
    <t>26442458</t>
  </si>
  <si>
    <t>Федерального государственного казенного учреждения «Катунь»</t>
  </si>
  <si>
    <t>2423005532</t>
  </si>
  <si>
    <t>20-02-1995 00:00:00</t>
  </si>
  <si>
    <t>27576925</t>
  </si>
  <si>
    <t>Филиал ОАО "РЭУ" "Иркутский"</t>
  </si>
  <si>
    <t>7714783092</t>
  </si>
  <si>
    <t>381143001</t>
  </si>
  <si>
    <t>03-08-2010 00:00:00</t>
  </si>
  <si>
    <t>27671038</t>
  </si>
  <si>
    <t>Филиал ОАО «Э.ОН Россия» «Тепловые сети Березовской ГРЭС»</t>
  </si>
  <si>
    <t>245902001</t>
  </si>
  <si>
    <t>27544654</t>
  </si>
  <si>
    <t>Филиал ПАО «ОГК-2» - Красноярская ГРЭС-2</t>
  </si>
  <si>
    <t>2607018122</t>
  </si>
  <si>
    <t>245343001</t>
  </si>
  <si>
    <t>30914574</t>
  </si>
  <si>
    <t>Филиал ФГБУ "ЦЖКУ" МИНОБОРОНЫ РОССИИ (по ЦВО)</t>
  </si>
  <si>
    <t>667043001</t>
  </si>
  <si>
    <t>26371423</t>
  </si>
  <si>
    <t>Химический завод - филиал АО  "Красноярский машиностроительный завод"</t>
  </si>
  <si>
    <t>17-10-2002 00:00:00</t>
  </si>
  <si>
    <t>26620858</t>
  </si>
  <si>
    <t>Ярцевский филиал ОАО "Лесосибирский ЛДК 1"</t>
  </si>
  <si>
    <t>2454003302</t>
  </si>
  <si>
    <t>244702002</t>
  </si>
  <si>
    <t>26440698</t>
  </si>
  <si>
    <t>МУПП "Тайга"</t>
  </si>
  <si>
    <t>2415005049</t>
  </si>
  <si>
    <t>241501001</t>
  </si>
  <si>
    <t>30-11-2006 00:00:00</t>
  </si>
  <si>
    <t>26445325</t>
  </si>
  <si>
    <t>ОАО " РУСАЛ Красноярск"</t>
  </si>
  <si>
    <t>2465000141</t>
  </si>
  <si>
    <t>24-08-2002 00:00:00</t>
  </si>
  <si>
    <t>26371335</t>
  </si>
  <si>
    <t>ООО "ЖКХ"</t>
  </si>
  <si>
    <t>2403006930</t>
  </si>
  <si>
    <t>13-09-2004 00:00:00</t>
  </si>
  <si>
    <t>31255936</t>
  </si>
  <si>
    <t>ООО "ЖКХ-КОМФОРТ"</t>
  </si>
  <si>
    <t>2415006275</t>
  </si>
  <si>
    <t>26620852</t>
  </si>
  <si>
    <t>ООО "Коммунальщик-Н"</t>
  </si>
  <si>
    <t>2447008966</t>
  </si>
  <si>
    <t>28-08-2006 00:00:00</t>
  </si>
  <si>
    <t>12-04-2023 00:00:00</t>
  </si>
  <si>
    <t>26559188</t>
  </si>
  <si>
    <t>АО "Енисейская ТГК (ТГК-13)" - Минусинская ТЭЦ</t>
  </si>
  <si>
    <t>245502001</t>
  </si>
  <si>
    <t>09-03-2007 00:00:00</t>
  </si>
  <si>
    <t>26371429</t>
  </si>
  <si>
    <t>АО "Сибирский лесохимический завод"</t>
  </si>
  <si>
    <t>2454019736</t>
  </si>
  <si>
    <t>31-03-2009 00:00:00</t>
  </si>
  <si>
    <t>27713863</t>
  </si>
  <si>
    <t>Благовещенский сельский совет</t>
  </si>
  <si>
    <t>2416001544</t>
  </si>
  <si>
    <t>26893402</t>
  </si>
  <si>
    <t>ВСМУП "Жилкомсервис"</t>
  </si>
  <si>
    <t>2416005517</t>
  </si>
  <si>
    <t>26559213</t>
  </si>
  <si>
    <t>ДООО "Водоканал"</t>
  </si>
  <si>
    <t>2437004296</t>
  </si>
  <si>
    <t>27-11-2009 00:00:00</t>
  </si>
  <si>
    <t>26440786</t>
  </si>
  <si>
    <t>ЗАО "Птицефабрика "Канская"</t>
  </si>
  <si>
    <t>2450024661</t>
  </si>
  <si>
    <t>27577237</t>
  </si>
  <si>
    <t>ЗАО ПСК "Союз"</t>
  </si>
  <si>
    <t>2464007521</t>
  </si>
  <si>
    <t>540501001</t>
  </si>
  <si>
    <t>31522033</t>
  </si>
  <si>
    <t>ИП "Маймага С.М."</t>
  </si>
  <si>
    <t>140300347481</t>
  </si>
  <si>
    <t>31681242</t>
  </si>
  <si>
    <t>ИП Чебышев В.А.</t>
  </si>
  <si>
    <t>245603082074</t>
  </si>
  <si>
    <t>27713874</t>
  </si>
  <si>
    <t>Ивановский сельский совет</t>
  </si>
  <si>
    <t>2416001569</t>
  </si>
  <si>
    <t>27713921</t>
  </si>
  <si>
    <t>Изумрудновский сельский совет</t>
  </si>
  <si>
    <t>2416001576</t>
  </si>
  <si>
    <t>27580567</t>
  </si>
  <si>
    <t>Изумрудновское МУП "Лидер"</t>
  </si>
  <si>
    <t>2416004626</t>
  </si>
  <si>
    <t>28046335</t>
  </si>
  <si>
    <t>КГБУ СО "Шарыповский психоневрологический интернат"</t>
  </si>
  <si>
    <t>2441000992</t>
  </si>
  <si>
    <t>26371409</t>
  </si>
  <si>
    <t>МКП Боготольского района "Услуга"</t>
  </si>
  <si>
    <t>2444301420</t>
  </si>
  <si>
    <t>15-05-2003 00:00:00</t>
  </si>
  <si>
    <t>31391089</t>
  </si>
  <si>
    <t>МКУ "Водолей"</t>
  </si>
  <si>
    <t>2401006204</t>
  </si>
  <si>
    <t>06-10-2023 00:00:00</t>
  </si>
  <si>
    <t>30398411</t>
  </si>
  <si>
    <t>МКУ "Исток"</t>
  </si>
  <si>
    <t>2415001252</t>
  </si>
  <si>
    <t>31492406</t>
  </si>
  <si>
    <t>МКУ "МПЧ № 1"</t>
  </si>
  <si>
    <t>2407010038</t>
  </si>
  <si>
    <t>28875999</t>
  </si>
  <si>
    <t>МКУ "Селянка"</t>
  </si>
  <si>
    <t>2415005987</t>
  </si>
  <si>
    <t>31652287</t>
  </si>
  <si>
    <t>МКУ "ЦХО" Карапсельского сельсовета</t>
  </si>
  <si>
    <t>2415006589</t>
  </si>
  <si>
    <t>31255968</t>
  </si>
  <si>
    <t>МКУ "ЦХО" Новогородского сельсовета</t>
  </si>
  <si>
    <t>2415005930</t>
  </si>
  <si>
    <t>31255994</t>
  </si>
  <si>
    <t>МКУ ЦХО Новопокровского сельсовета</t>
  </si>
  <si>
    <t>2415001291</t>
  </si>
  <si>
    <t>31522021</t>
  </si>
  <si>
    <t>МКУП  "Ванаваракомсервис"</t>
  </si>
  <si>
    <t>2470200065</t>
  </si>
  <si>
    <t>26371425</t>
  </si>
  <si>
    <t>МП ЗАТО края "Жилищно-коммунальное хозяйство" п. Подгорный</t>
  </si>
  <si>
    <t>2452018455</t>
  </si>
  <si>
    <t>05-05-1999 00:00:00</t>
  </si>
  <si>
    <t>26371402</t>
  </si>
  <si>
    <t>МУП "Водоканал" Иджинского сельсовета</t>
  </si>
  <si>
    <t>2442010915</t>
  </si>
  <si>
    <t>06-12-2006 00:00:00</t>
  </si>
  <si>
    <t>31038989</t>
  </si>
  <si>
    <t>МУП "Водоканал" Синеборского сельсовета</t>
  </si>
  <si>
    <t>2442013264</t>
  </si>
  <si>
    <t>31544102</t>
  </si>
  <si>
    <t>МУП "Водоресурс" Есаульского сельсовета</t>
  </si>
  <si>
    <t>2404021539</t>
  </si>
  <si>
    <t>28873591</t>
  </si>
  <si>
    <t>МУП "Дзержинское коммунальное предприятие"</t>
  </si>
  <si>
    <t>2410004186</t>
  </si>
  <si>
    <t>30852215</t>
  </si>
  <si>
    <t>МУП "Дивногорский водоконал"</t>
  </si>
  <si>
    <t>2446008201</t>
  </si>
  <si>
    <t>31492166</t>
  </si>
  <si>
    <t>МУП "Мотыгинское ЖКХ"</t>
  </si>
  <si>
    <t>2426005562</t>
  </si>
  <si>
    <t>28454009</t>
  </si>
  <si>
    <t>МУП "Родник"</t>
  </si>
  <si>
    <t>2421003723</t>
  </si>
  <si>
    <t>242101001</t>
  </si>
  <si>
    <t>27713665</t>
  </si>
  <si>
    <t>МУП "ЮДИНСКОЕ ЖКХ"</t>
  </si>
  <si>
    <t>2416004619</t>
  </si>
  <si>
    <t>26442635</t>
  </si>
  <si>
    <t>МУП ЖКХ "АлПииКо"</t>
  </si>
  <si>
    <t>2439006771</t>
  </si>
  <si>
    <t>17-08-2006 00:00:00</t>
  </si>
  <si>
    <t>28048406</t>
  </si>
  <si>
    <t>МУП Усть-Ярульское "Тройка"</t>
  </si>
  <si>
    <t>2416004633</t>
  </si>
  <si>
    <t>26433088</t>
  </si>
  <si>
    <t>МУП Шушенского района "Водоканал"</t>
  </si>
  <si>
    <t>2442000459</t>
  </si>
  <si>
    <t>10-09-2002 00:00:00</t>
  </si>
  <si>
    <t>28505625</t>
  </si>
  <si>
    <t>МУП г. Енисейска "Городской коммунальный сервис"</t>
  </si>
  <si>
    <t>2447007828</t>
  </si>
  <si>
    <t>27713878</t>
  </si>
  <si>
    <t>Мельничный сельский совет</t>
  </si>
  <si>
    <t>2416001590</t>
  </si>
  <si>
    <t>26371403</t>
  </si>
  <si>
    <t>ОАО "Ачинская хлебная база № 17"</t>
  </si>
  <si>
    <t>2443005481</t>
  </si>
  <si>
    <t>27583567</t>
  </si>
  <si>
    <t>ОАО "Транссибнефть" филиал Новосибирское РНУ НПС "Каштан</t>
  </si>
  <si>
    <t>554250011</t>
  </si>
  <si>
    <t>26374077</t>
  </si>
  <si>
    <t>ОАО "Транссибнефть"Красноярское РНУ Кемчугская НПС</t>
  </si>
  <si>
    <t>242103001</t>
  </si>
  <si>
    <t>15-06-1994 00:00:00</t>
  </si>
  <si>
    <t>31229929</t>
  </si>
  <si>
    <t>ООО "Автотранспортное предприятие"</t>
  </si>
  <si>
    <t>2420008158</t>
  </si>
  <si>
    <t>30872160</t>
  </si>
  <si>
    <t>ООО "Агрофермер"</t>
  </si>
  <si>
    <t>2411021201</t>
  </si>
  <si>
    <t>31565548</t>
  </si>
  <si>
    <t>ООО "АкваРесурс"</t>
  </si>
  <si>
    <t>2459021175</t>
  </si>
  <si>
    <t>28876061</t>
  </si>
  <si>
    <t>ООО "Ангарская ТГК"</t>
  </si>
  <si>
    <t>2426004880</t>
  </si>
  <si>
    <t>26644480</t>
  </si>
  <si>
    <t>ООО "Артезиан"</t>
  </si>
  <si>
    <t>2415005803</t>
  </si>
  <si>
    <t>09-10-2009 00:00:00</t>
  </si>
  <si>
    <t>31255743</t>
  </si>
  <si>
    <t>ООО "БКС"</t>
  </si>
  <si>
    <t>2444002966</t>
  </si>
  <si>
    <t>26760544</t>
  </si>
  <si>
    <t>ООО "Вико"</t>
  </si>
  <si>
    <t>2442009571</t>
  </si>
  <si>
    <t>26371341</t>
  </si>
  <si>
    <t>ООО "Водные ресурсы"</t>
  </si>
  <si>
    <t>2407061730</t>
  </si>
  <si>
    <t>07-03-2006 00:00:00</t>
  </si>
  <si>
    <t>26760390</t>
  </si>
  <si>
    <t>ООО "Водоканал Плюс"</t>
  </si>
  <si>
    <t>2429002802</t>
  </si>
  <si>
    <t>08-10-2010 00:00:00</t>
  </si>
  <si>
    <t>29645476</t>
  </si>
  <si>
    <t>ООО "Водоканал"</t>
  </si>
  <si>
    <t>2423014512</t>
  </si>
  <si>
    <t>26371439</t>
  </si>
  <si>
    <t>2456009765</t>
  </si>
  <si>
    <t>20-05-2005 00:00:00</t>
  </si>
  <si>
    <t>30869849</t>
  </si>
  <si>
    <t>ООО "Водоканал-Сервис"</t>
  </si>
  <si>
    <t>2444002807</t>
  </si>
  <si>
    <t>26371421</t>
  </si>
  <si>
    <t>ООО "Водоканал-сервис"</t>
  </si>
  <si>
    <t>2450019630</t>
  </si>
  <si>
    <t>03-08-2004 00:00:00</t>
  </si>
  <si>
    <t>30386496</t>
  </si>
  <si>
    <t>ООО "Водоснабжение"</t>
  </si>
  <si>
    <t>2420008140</t>
  </si>
  <si>
    <t>31384093</t>
  </si>
  <si>
    <t>ООО "Восток"</t>
  </si>
  <si>
    <t>2465160635</t>
  </si>
  <si>
    <t>26371461</t>
  </si>
  <si>
    <t>ООО "Дивногорский водоканал"</t>
  </si>
  <si>
    <t>2464076268</t>
  </si>
  <si>
    <t>31628124</t>
  </si>
  <si>
    <t>ООО "Диполь"</t>
  </si>
  <si>
    <t>2465345795</t>
  </si>
  <si>
    <t>30869819</t>
  </si>
  <si>
    <t>ООО "Енисейский водоканал"</t>
  </si>
  <si>
    <t>2447013170</t>
  </si>
  <si>
    <t>31469721</t>
  </si>
  <si>
    <t>ООО "ЕссейЭнерго"</t>
  </si>
  <si>
    <t>2470001454</t>
  </si>
  <si>
    <t>30389317</t>
  </si>
  <si>
    <t>2415004550</t>
  </si>
  <si>
    <t>27-03-2023 00:00:00</t>
  </si>
  <si>
    <t>26371338</t>
  </si>
  <si>
    <t>2404006033</t>
  </si>
  <si>
    <t>20-05-2004 00:00:00</t>
  </si>
  <si>
    <t>26763089</t>
  </si>
  <si>
    <t>ООО "Импульс"</t>
  </si>
  <si>
    <t>2426004706</t>
  </si>
  <si>
    <t>28873607</t>
  </si>
  <si>
    <t>ООО "Инженерные сети"</t>
  </si>
  <si>
    <t>2464257024</t>
  </si>
  <si>
    <t>31390759</t>
  </si>
  <si>
    <t>ООО "КВАНТ"</t>
  </si>
  <si>
    <t>2413008020</t>
  </si>
  <si>
    <t>30389328</t>
  </si>
  <si>
    <t>ООО "КРАСНОЯРСКАЯ СТРОИТЕЛЬНАЯ КОМПАНИЯ - УЮТ"</t>
  </si>
  <si>
    <t>2404016546</t>
  </si>
  <si>
    <t>30877699</t>
  </si>
  <si>
    <t>ООО "Квадрат"</t>
  </si>
  <si>
    <t>2450030231</t>
  </si>
  <si>
    <t>28144240</t>
  </si>
  <si>
    <t>ООО "Кедровый бор"</t>
  </si>
  <si>
    <t>2411017413</t>
  </si>
  <si>
    <t>27579115</t>
  </si>
  <si>
    <t>ООО "Курагинский Энергосервис"</t>
  </si>
  <si>
    <t>2423013484</t>
  </si>
  <si>
    <t>28077890</t>
  </si>
  <si>
    <t>ООО "Обслуживание коммунального комплекса"</t>
  </si>
  <si>
    <t>2408005552</t>
  </si>
  <si>
    <t>240801001</t>
  </si>
  <si>
    <t>26889459</t>
  </si>
  <si>
    <t>ООО "Провинция плюс"</t>
  </si>
  <si>
    <t>2444302582</t>
  </si>
  <si>
    <t>04-06-2007 00:00:00</t>
  </si>
  <si>
    <t>26760591</t>
  </si>
  <si>
    <t>ООО "РемСтройКомплект"</t>
  </si>
  <si>
    <t>7703621117</t>
  </si>
  <si>
    <t>22-12-2006 00:00:00</t>
  </si>
  <si>
    <t>28053227</t>
  </si>
  <si>
    <t>ООО "Ремонт +"</t>
  </si>
  <si>
    <t>2464237268</t>
  </si>
  <si>
    <t>31390884</t>
  </si>
  <si>
    <t>ООО "Ресурс Т"</t>
  </si>
  <si>
    <t>2463238999</t>
  </si>
  <si>
    <t>30870451</t>
  </si>
  <si>
    <t>28459938</t>
  </si>
  <si>
    <t>ООО "СИБТЕПЛО"</t>
  </si>
  <si>
    <t>2439008088</t>
  </si>
  <si>
    <t>31551887</t>
  </si>
  <si>
    <t>2433004619</t>
  </si>
  <si>
    <t>31492162</t>
  </si>
  <si>
    <t>ООО "Сетевая Городская Компания"</t>
  </si>
  <si>
    <t>2460116583</t>
  </si>
  <si>
    <t>31059142</t>
  </si>
  <si>
    <t>ООО "СибЭкоПром"</t>
  </si>
  <si>
    <t>2448006440</t>
  </si>
  <si>
    <t>26371455</t>
  </si>
  <si>
    <t>ООО "Система водоснабжения региона"</t>
  </si>
  <si>
    <t>2459014594</t>
  </si>
  <si>
    <t>26-07-2006 00:00:00</t>
  </si>
  <si>
    <t>28053260</t>
  </si>
  <si>
    <t>ООО "СтройКом"</t>
  </si>
  <si>
    <t>2464237282</t>
  </si>
  <si>
    <t>31388609</t>
  </si>
  <si>
    <t>ООО "Таймыр Альянс Трейдинг"</t>
  </si>
  <si>
    <t>2469003908</t>
  </si>
  <si>
    <t>26442357</t>
  </si>
  <si>
    <t>ООО "УЖКХ"</t>
  </si>
  <si>
    <t>2459015615</t>
  </si>
  <si>
    <t>10-12-2007 00:00:00</t>
  </si>
  <si>
    <t>30801544</t>
  </si>
  <si>
    <t>ООО "УК "ЭнергобытСервис"</t>
  </si>
  <si>
    <t>2469003175</t>
  </si>
  <si>
    <t>26444742</t>
  </si>
  <si>
    <t>ООО "Центр инженерно-технического обеспечения"</t>
  </si>
  <si>
    <t>2459014788</t>
  </si>
  <si>
    <t>13-12-2006 00:00:00</t>
  </si>
  <si>
    <t>26439169</t>
  </si>
  <si>
    <t>ООО "Центр реализации коммунальных услуг"</t>
  </si>
  <si>
    <t>2459013819</t>
  </si>
  <si>
    <t>30-11-2005 00:00:00</t>
  </si>
  <si>
    <t>28456221</t>
  </si>
  <si>
    <t>ООО "Чистый двор"</t>
  </si>
  <si>
    <t>2442011228</t>
  </si>
  <si>
    <t>31543066</t>
  </si>
  <si>
    <t>ООО "ЭКО-ВОСТОК"</t>
  </si>
  <si>
    <t>2465181307</t>
  </si>
  <si>
    <t>244501001</t>
  </si>
  <si>
    <t>30359237</t>
  </si>
  <si>
    <t>ООО «БАЛАХТА - СТРОЙКОМПЛЕКТ»</t>
  </si>
  <si>
    <t>2403009120</t>
  </si>
  <si>
    <t>31717249</t>
  </si>
  <si>
    <t>ООО «ИНКОМ-СОСНЫ»</t>
  </si>
  <si>
    <t>7730167083</t>
  </si>
  <si>
    <t>770201001</t>
  </si>
  <si>
    <t>31640541</t>
  </si>
  <si>
    <t>ООО «Северный Неоплан Красноярск»</t>
  </si>
  <si>
    <t>2411022660</t>
  </si>
  <si>
    <t>31634932</t>
  </si>
  <si>
    <t>ООО «Стратегия»</t>
  </si>
  <si>
    <t>2415006525</t>
  </si>
  <si>
    <t>30855331</t>
  </si>
  <si>
    <t>ООО «ТВК»</t>
  </si>
  <si>
    <t>2453020143</t>
  </si>
  <si>
    <t>31022343</t>
  </si>
  <si>
    <t>ООО ТГК "Энергия"</t>
  </si>
  <si>
    <t>2411026457</t>
  </si>
  <si>
    <t>30477246</t>
  </si>
  <si>
    <t>ООО Торговый дом "Маршал"</t>
  </si>
  <si>
    <t>2463087940</t>
  </si>
  <si>
    <t>31256235</t>
  </si>
  <si>
    <t>ООО УК «Заозерновский Водоканал»</t>
  </si>
  <si>
    <t>2448006432</t>
  </si>
  <si>
    <t>26445092</t>
  </si>
  <si>
    <t>ПАО "ГМК"Норильский никель" "Норильскэнерго"- филиал ПАО "ГМК"Норильский никель"</t>
  </si>
  <si>
    <t>8401005730</t>
  </si>
  <si>
    <t>13-01-2005 00:00:00</t>
  </si>
  <si>
    <t>26319036</t>
  </si>
  <si>
    <t>ПАО "Красноярскэнергосбыт"</t>
  </si>
  <si>
    <t>2466132221</t>
  </si>
  <si>
    <t>28463973</t>
  </si>
  <si>
    <t>ПАО "Красфарма"</t>
  </si>
  <si>
    <t>2464010490</t>
  </si>
  <si>
    <t>30871091</t>
  </si>
  <si>
    <t>СМУП "Тальское КХ"</t>
  </si>
  <si>
    <t>2416006341</t>
  </si>
  <si>
    <t>26620879</t>
  </si>
  <si>
    <t>СПК "Майский"</t>
  </si>
  <si>
    <t>2416005789</t>
  </si>
  <si>
    <t>27713882</t>
  </si>
  <si>
    <t>Сергеевский сельский совет</t>
  </si>
  <si>
    <t>2416001600</t>
  </si>
  <si>
    <t>27713886</t>
  </si>
  <si>
    <t>Степановский сельский совет</t>
  </si>
  <si>
    <t>2416001625</t>
  </si>
  <si>
    <t>28451380</t>
  </si>
  <si>
    <t>Степановское МУП "Кедр"</t>
  </si>
  <si>
    <t>2416006020</t>
  </si>
  <si>
    <t>27713890</t>
  </si>
  <si>
    <t>Тальский сельский совет</t>
  </si>
  <si>
    <t>2416001632</t>
  </si>
  <si>
    <t>27713894</t>
  </si>
  <si>
    <t>Тумаковский сельский совет</t>
  </si>
  <si>
    <t>2416001640</t>
  </si>
  <si>
    <t>27713898</t>
  </si>
  <si>
    <t>Успенский сельский совет</t>
  </si>
  <si>
    <t>2416001671</t>
  </si>
  <si>
    <t>27713906</t>
  </si>
  <si>
    <t>Усть-Каначульский сельский совет</t>
  </si>
  <si>
    <t>2416001689</t>
  </si>
  <si>
    <t>27713913</t>
  </si>
  <si>
    <t>Усть-Ярульский сельский совет</t>
  </si>
  <si>
    <t>2416001664</t>
  </si>
  <si>
    <t>27713917</t>
  </si>
  <si>
    <t>Чухломинский сельский совет</t>
  </si>
  <si>
    <t>2416001696</t>
  </si>
  <si>
    <t>31255905</t>
  </si>
  <si>
    <t>Ю-ЕМУП ЖКХ "Южно-Енисейский"</t>
  </si>
  <si>
    <t>2426005530</t>
  </si>
  <si>
    <t>27551605</t>
  </si>
  <si>
    <t>"Норильскэнерго" - филиал ПАО "ГМК "Норильский никель"</t>
  </si>
  <si>
    <t>245703001</t>
  </si>
  <si>
    <t>30869795</t>
  </si>
  <si>
    <t>АО "ЕнисейАгроСоюз"</t>
  </si>
  <si>
    <t>2435006523</t>
  </si>
  <si>
    <t>31089021</t>
  </si>
  <si>
    <t>АО "УЖБК"</t>
  </si>
  <si>
    <t>2440000020</t>
  </si>
  <si>
    <t>31586645</t>
  </si>
  <si>
    <t>ИП Слезко В.П.</t>
  </si>
  <si>
    <t>246525081643</t>
  </si>
  <si>
    <t>31398361</t>
  </si>
  <si>
    <t>МКУП "Енисейское Коммунальное Предприятие" г.Енисейска</t>
  </si>
  <si>
    <t>2447013652</t>
  </si>
  <si>
    <t>26559240</t>
  </si>
  <si>
    <t>МП "Хозяйственное обеспечение"</t>
  </si>
  <si>
    <t>8801012563</t>
  </si>
  <si>
    <t>15-12-2004 00:00:00</t>
  </si>
  <si>
    <t>30389307</t>
  </si>
  <si>
    <t>МУП "РиэлтИнвестКонсалтинг"</t>
  </si>
  <si>
    <t>2415005232</t>
  </si>
  <si>
    <t>31666278</t>
  </si>
  <si>
    <t>ООО "Агидель"</t>
  </si>
  <si>
    <t>2421004212</t>
  </si>
  <si>
    <t>242100100</t>
  </si>
  <si>
    <t>31261755</t>
  </si>
  <si>
    <t>ООО "Аграрная группа-Красноярск"</t>
  </si>
  <si>
    <t>2408005841</t>
  </si>
  <si>
    <t>240801100</t>
  </si>
  <si>
    <t>27573424</t>
  </si>
  <si>
    <t>ООО "Агропромкомплект"</t>
  </si>
  <si>
    <t>2448002332</t>
  </si>
  <si>
    <t>30412677</t>
  </si>
  <si>
    <t>ООО "Альянс"</t>
  </si>
  <si>
    <t>2405000235</t>
  </si>
  <si>
    <t>30874897</t>
  </si>
  <si>
    <t>ООО "Аэропорт "Норильск"</t>
  </si>
  <si>
    <t>2457067174</t>
  </si>
  <si>
    <t>30386503</t>
  </si>
  <si>
    <t>ООО "Водоотведение"</t>
  </si>
  <si>
    <t>2420008126</t>
  </si>
  <si>
    <t>12-01-2015 00:00:00</t>
  </si>
  <si>
    <t>31256125</t>
  </si>
  <si>
    <t>ООО "ГКС"</t>
  </si>
  <si>
    <t>2466192534</t>
  </si>
  <si>
    <t>30869828</t>
  </si>
  <si>
    <t>ООО "Енисейское сервисное предприятие"</t>
  </si>
  <si>
    <t>2447012641</t>
  </si>
  <si>
    <t>31022004</t>
  </si>
  <si>
    <t>ООО "Зыковская сетевая компания"</t>
  </si>
  <si>
    <t>2404019723</t>
  </si>
  <si>
    <t>31528506</t>
  </si>
  <si>
    <t>ООО "Интеграл"</t>
  </si>
  <si>
    <t>2449002977</t>
  </si>
  <si>
    <t>26558716</t>
  </si>
  <si>
    <t>ООО "Металлист"</t>
  </si>
  <si>
    <t>2459010631</t>
  </si>
  <si>
    <t>31466675</t>
  </si>
  <si>
    <t>ООО "НН Технические сервисы"</t>
  </si>
  <si>
    <t>2457063268</t>
  </si>
  <si>
    <t>780401001</t>
  </si>
  <si>
    <t>27573693</t>
  </si>
  <si>
    <t>ООО "Полигон"</t>
  </si>
  <si>
    <t>2444303314</t>
  </si>
  <si>
    <t>28046295</t>
  </si>
  <si>
    <t>ООО "Предприятие Жилищно-Коммунального хозяйства"</t>
  </si>
  <si>
    <t>2459012565</t>
  </si>
  <si>
    <t>31387549</t>
  </si>
  <si>
    <t>2440008124</t>
  </si>
  <si>
    <t>31382512</t>
  </si>
  <si>
    <t>ООО "Севераж"</t>
  </si>
  <si>
    <t>2421004050</t>
  </si>
  <si>
    <t>26760541</t>
  </si>
  <si>
    <t>ООО "Теплоэлектросервис"</t>
  </si>
  <si>
    <t>2442011500</t>
  </si>
  <si>
    <t>28452758</t>
  </si>
  <si>
    <t>ООО "Типтур"</t>
  </si>
  <si>
    <t>2449002705</t>
  </si>
  <si>
    <t>31467808</t>
  </si>
  <si>
    <t>ООО "Удача плюс"</t>
  </si>
  <si>
    <t>2415001830</t>
  </si>
  <si>
    <t>31573817</t>
  </si>
  <si>
    <t>ООО «ГОН»</t>
  </si>
  <si>
    <t>2405000644</t>
  </si>
  <si>
    <t>31543099</t>
  </si>
  <si>
    <t>ООО «Саянкомсервис»</t>
  </si>
  <si>
    <t>2433004633</t>
  </si>
  <si>
    <t>31022363</t>
  </si>
  <si>
    <t>ООО ЭК "Энергия"</t>
  </si>
  <si>
    <t>2411026489</t>
  </si>
  <si>
    <t>26382151</t>
  </si>
  <si>
    <t>АО "Автоспецбаза"</t>
  </si>
  <si>
    <t>2466245458</t>
  </si>
  <si>
    <t>04-01-2003 00:00:00</t>
  </si>
  <si>
    <t>31513827</t>
  </si>
  <si>
    <t>АО "Группа СТК"</t>
  </si>
  <si>
    <t>2443051953</t>
  </si>
  <si>
    <t>31382545</t>
  </si>
  <si>
    <t>ИП Писанец В.А.</t>
  </si>
  <si>
    <t>244304400506</t>
  </si>
  <si>
    <t>26442237</t>
  </si>
  <si>
    <t>МУП "Санитарная служба Кежемского района"</t>
  </si>
  <si>
    <t>2420008006</t>
  </si>
  <si>
    <t>12-01-2005 00:00:00</t>
  </si>
  <si>
    <t>31383431</t>
  </si>
  <si>
    <t>МХ ООО "Универсал"</t>
  </si>
  <si>
    <t>2403008221</t>
  </si>
  <si>
    <t>31221421</t>
  </si>
  <si>
    <t>ООО "АЭРОСИТИ-2000"</t>
  </si>
  <si>
    <t>7730118512</t>
  </si>
  <si>
    <t>773401001</t>
  </si>
  <si>
    <t>28-09-1999 00:00:00</t>
  </si>
  <si>
    <t>26382156</t>
  </si>
  <si>
    <t>ООО "Байкал-2000"</t>
  </si>
  <si>
    <t>2457047410</t>
  </si>
  <si>
    <t>03-08-2002 00:00:00</t>
  </si>
  <si>
    <t>31392188</t>
  </si>
  <si>
    <t>ООО "Благоустройство и озеленение"</t>
  </si>
  <si>
    <t>2456013673</t>
  </si>
  <si>
    <t>26620993</t>
  </si>
  <si>
    <t>ООО "Жилкомхоз" Ермаковский район</t>
  </si>
  <si>
    <t>2413006400</t>
  </si>
  <si>
    <t>16-11-2006 00:00:00</t>
  </si>
  <si>
    <t>31696274</t>
  </si>
  <si>
    <t>ООО "Ликсо"</t>
  </si>
  <si>
    <t>2465194232</t>
  </si>
  <si>
    <t>31196493</t>
  </si>
  <si>
    <t>ООО "МСК-Восток"</t>
  </si>
  <si>
    <t>2448006055</t>
  </si>
  <si>
    <t>31099076</t>
  </si>
  <si>
    <t>ООО "Мусоросортировочный комплекс Юго-Запад"</t>
  </si>
  <si>
    <t>2461224905</t>
  </si>
  <si>
    <t>31234176</t>
  </si>
  <si>
    <t>ООО "ПромТех"</t>
  </si>
  <si>
    <t>2465293794</t>
  </si>
  <si>
    <t>30878211</t>
  </si>
  <si>
    <t>ООО "Рециклинговая компания"</t>
  </si>
  <si>
    <t>2461225916</t>
  </si>
  <si>
    <t>31234167</t>
  </si>
  <si>
    <t>ООО "РостТех"</t>
  </si>
  <si>
    <t>2465240182</t>
  </si>
  <si>
    <t>26382155</t>
  </si>
  <si>
    <t>ООО "Стройбытсервис"</t>
  </si>
  <si>
    <t>2457046030</t>
  </si>
  <si>
    <t>22-11-2002 00:00:00</t>
  </si>
  <si>
    <t>30391724</t>
  </si>
  <si>
    <t>ООО "Транс-логистик"</t>
  </si>
  <si>
    <t>2448005799</t>
  </si>
  <si>
    <t>248801001</t>
  </si>
  <si>
    <t>28271093</t>
  </si>
  <si>
    <t>ООО "Ужурский сервисцентр"</t>
  </si>
  <si>
    <t>2439006891</t>
  </si>
  <si>
    <t>31233870</t>
  </si>
  <si>
    <t>ООО "Эко-Транспорт"</t>
  </si>
  <si>
    <t>2443044730</t>
  </si>
  <si>
    <t>31032493</t>
  </si>
  <si>
    <t>ООО "Экосервис"</t>
  </si>
  <si>
    <t>2464116697</t>
  </si>
  <si>
    <t>31696250</t>
  </si>
  <si>
    <t>ООО «Вторичные ресурсы Красноярск»</t>
  </si>
  <si>
    <t>2460044762</t>
  </si>
  <si>
    <t>31222763</t>
  </si>
  <si>
    <t>ООО «Красноярская Рециклинговая Компания»</t>
  </si>
  <si>
    <t>2461223108</t>
  </si>
  <si>
    <t>31197346</t>
  </si>
  <si>
    <t>ООО «Планета-сервис»</t>
  </si>
  <si>
    <t>2454023549</t>
  </si>
  <si>
    <t>27573129</t>
  </si>
  <si>
    <t>ООО УО "Жилсервис"</t>
  </si>
  <si>
    <t>2429002560</t>
  </si>
  <si>
    <t>NSRF</t>
  </si>
  <si>
    <t>MR_NAME</t>
  </si>
  <si>
    <t>OKTMO_MR_NAME</t>
  </si>
  <si>
    <t>MO_NAME</t>
  </si>
  <si>
    <t>OKTMO_NAME</t>
  </si>
  <si>
    <t>TYPE</t>
  </si>
  <si>
    <t>MR_ID</t>
  </si>
  <si>
    <t>Абанский муниципальный район</t>
  </si>
  <si>
    <t>04601000</t>
  </si>
  <si>
    <t>муниципальный район</t>
  </si>
  <si>
    <t>Абанский сельсовет</t>
  </si>
  <si>
    <t>04601401</t>
  </si>
  <si>
    <t>сельское поселение</t>
  </si>
  <si>
    <t>Апано-Ключинский сельсовет</t>
  </si>
  <si>
    <t>04601402</t>
  </si>
  <si>
    <t>Березовский сельсовет</t>
  </si>
  <si>
    <t>04601404</t>
  </si>
  <si>
    <t>Вознесенский сельсовет</t>
  </si>
  <si>
    <t>04601407</t>
  </si>
  <si>
    <t>Долгомостовский сельсовет</t>
  </si>
  <si>
    <t>04601410</t>
  </si>
  <si>
    <t>Заозерновский сельсовет</t>
  </si>
  <si>
    <t>04601413</t>
  </si>
  <si>
    <t>Никольский сельсовет</t>
  </si>
  <si>
    <t>04601420</t>
  </si>
  <si>
    <t>Новоуспенский сельсовет</t>
  </si>
  <si>
    <t>04601422</t>
  </si>
  <si>
    <t>Петропавловский сельсовет</t>
  </si>
  <si>
    <t>04601428</t>
  </si>
  <si>
    <t>Покатеевский сельсовет</t>
  </si>
  <si>
    <t>04601425</t>
  </si>
  <si>
    <t>Покровский сельсовет</t>
  </si>
  <si>
    <t>04601434</t>
  </si>
  <si>
    <t>Почетский сельсовет</t>
  </si>
  <si>
    <t>04601437</t>
  </si>
  <si>
    <t>Самойловский сельсовет</t>
  </si>
  <si>
    <t>04601440</t>
  </si>
  <si>
    <t>Туровский сельсовет</t>
  </si>
  <si>
    <t>04601443</t>
  </si>
  <si>
    <t>Устьянский сельсовет</t>
  </si>
  <si>
    <t>04601446</t>
  </si>
  <si>
    <t>Хандальский сельсовет</t>
  </si>
  <si>
    <t>04601449</t>
  </si>
  <si>
    <t>Ачинский муниципальный район</t>
  </si>
  <si>
    <t>04603000</t>
  </si>
  <si>
    <t>Белоярское</t>
  </si>
  <si>
    <t>04603402</t>
  </si>
  <si>
    <t>Горное</t>
  </si>
  <si>
    <t>04603407</t>
  </si>
  <si>
    <t>Ключинское</t>
  </si>
  <si>
    <t>04603410</t>
  </si>
  <si>
    <t>Лапшихинское</t>
  </si>
  <si>
    <t>04603413</t>
  </si>
  <si>
    <t>Малиновское</t>
  </si>
  <si>
    <t>04603414</t>
  </si>
  <si>
    <t>Преображенское</t>
  </si>
  <si>
    <t>04603404</t>
  </si>
  <si>
    <t>Причулымское</t>
  </si>
  <si>
    <t>04603419</t>
  </si>
  <si>
    <t>Тарутинское</t>
  </si>
  <si>
    <t>04603422</t>
  </si>
  <si>
    <t>Ястребовское</t>
  </si>
  <si>
    <t>04603428</t>
  </si>
  <si>
    <t>Балахтинский муниципальный район</t>
  </si>
  <si>
    <t>04604000</t>
  </si>
  <si>
    <t>Большесырский сельсовет</t>
  </si>
  <si>
    <t>04604402</t>
  </si>
  <si>
    <t>Грузенский сельсовет</t>
  </si>
  <si>
    <t>04604403</t>
  </si>
  <si>
    <t>Еловское</t>
  </si>
  <si>
    <t>04604404</t>
  </si>
  <si>
    <t>Кожановское</t>
  </si>
  <si>
    <t>04604405</t>
  </si>
  <si>
    <t>Красненский сельсовет</t>
  </si>
  <si>
    <t>04604406</t>
  </si>
  <si>
    <t>Огурское</t>
  </si>
  <si>
    <t>04604407</t>
  </si>
  <si>
    <t>04604410</t>
  </si>
  <si>
    <t>Приморское</t>
  </si>
  <si>
    <t>04604413</t>
  </si>
  <si>
    <t>Ровненский сельсовет</t>
  </si>
  <si>
    <t>04604416</t>
  </si>
  <si>
    <t>Тюльковское</t>
  </si>
  <si>
    <t>04604419</t>
  </si>
  <si>
    <t>Черемушкинский сельсовет</t>
  </si>
  <si>
    <t>04604422</t>
  </si>
  <si>
    <t>Чистопольский сельсовет</t>
  </si>
  <si>
    <t>04604425</t>
  </si>
  <si>
    <t>поселок Балахта</t>
  </si>
  <si>
    <t>04604151</t>
  </si>
  <si>
    <t>городское поселение, в состав которого входит поселок</t>
  </si>
  <si>
    <t>Березовский муниципальный район</t>
  </si>
  <si>
    <t>04605000</t>
  </si>
  <si>
    <t>Бархатовское</t>
  </si>
  <si>
    <t>04605402</t>
  </si>
  <si>
    <t>Вознесенское</t>
  </si>
  <si>
    <t>04605405</t>
  </si>
  <si>
    <t>Есаульское</t>
  </si>
  <si>
    <t>04605416</t>
  </si>
  <si>
    <t>Зыковское</t>
  </si>
  <si>
    <t>04605420</t>
  </si>
  <si>
    <t>Маганское</t>
  </si>
  <si>
    <t>04605425</t>
  </si>
  <si>
    <t>поселок Березовка</t>
  </si>
  <si>
    <t>04605151</t>
  </si>
  <si>
    <t>Бирилюсский муниципальный район</t>
  </si>
  <si>
    <t>04606000</t>
  </si>
  <si>
    <t>Арефьевский сельсовет</t>
  </si>
  <si>
    <t>04606403</t>
  </si>
  <si>
    <t>Зачулымский сельсовет</t>
  </si>
  <si>
    <t>04606407</t>
  </si>
  <si>
    <t>Кирчиженский сельсовет</t>
  </si>
  <si>
    <t>04606428</t>
  </si>
  <si>
    <t>Малокетское</t>
  </si>
  <si>
    <t>04606408</t>
  </si>
  <si>
    <t>Маталасский сельсовет</t>
  </si>
  <si>
    <t>04606410</t>
  </si>
  <si>
    <t>Новобирилюсское</t>
  </si>
  <si>
    <t>04606416</t>
  </si>
  <si>
    <t>Орловский сельсовет</t>
  </si>
  <si>
    <t>04606419</t>
  </si>
  <si>
    <t>Полевской сельсовет</t>
  </si>
  <si>
    <t>04606422</t>
  </si>
  <si>
    <t>Проточенский сельсовет</t>
  </si>
  <si>
    <t>04606425</t>
  </si>
  <si>
    <t>Рассветовский сельсовет</t>
  </si>
  <si>
    <t>04606430</t>
  </si>
  <si>
    <t>Суриковское</t>
  </si>
  <si>
    <t>04606426</t>
  </si>
  <si>
    <t>60</t>
  </si>
  <si>
    <t>Боготольский муниципальный район</t>
  </si>
  <si>
    <t>04608000</t>
  </si>
  <si>
    <t>Александровское</t>
  </si>
  <si>
    <t>04608402</t>
  </si>
  <si>
    <t>61</t>
  </si>
  <si>
    <t>62</t>
  </si>
  <si>
    <t>Боготольское</t>
  </si>
  <si>
    <t>04608404</t>
  </si>
  <si>
    <t>63</t>
  </si>
  <si>
    <t>Большекосульское</t>
  </si>
  <si>
    <t>04608407</t>
  </si>
  <si>
    <t>64</t>
  </si>
  <si>
    <t>Вагинское</t>
  </si>
  <si>
    <t>04608410</t>
  </si>
  <si>
    <t>65</t>
  </si>
  <si>
    <t>Краснозаводское</t>
  </si>
  <si>
    <t>04608413</t>
  </si>
  <si>
    <t>Критовское</t>
  </si>
  <si>
    <t>04608416</t>
  </si>
  <si>
    <t>67</t>
  </si>
  <si>
    <t>Чайковское</t>
  </si>
  <si>
    <t>04608419</t>
  </si>
  <si>
    <t>Юрьевское</t>
  </si>
  <si>
    <t>04608422</t>
  </si>
  <si>
    <t>69</t>
  </si>
  <si>
    <t>Богучанский муниципальный район</t>
  </si>
  <si>
    <t>04609000</t>
  </si>
  <si>
    <t>Ангарское</t>
  </si>
  <si>
    <t>04609402</t>
  </si>
  <si>
    <t>70</t>
  </si>
  <si>
    <t>Артюгинское</t>
  </si>
  <si>
    <t>04609404</t>
  </si>
  <si>
    <t>71</t>
  </si>
  <si>
    <t>Белякинское</t>
  </si>
  <si>
    <t>04609407</t>
  </si>
  <si>
    <t>72</t>
  </si>
  <si>
    <t>73</t>
  </si>
  <si>
    <t>Богучанское</t>
  </si>
  <si>
    <t>04609410</t>
  </si>
  <si>
    <t>74</t>
  </si>
  <si>
    <t>Говорковское</t>
  </si>
  <si>
    <t>04609413</t>
  </si>
  <si>
    <t>75</t>
  </si>
  <si>
    <t>Красногорьевское</t>
  </si>
  <si>
    <t>04609418</t>
  </si>
  <si>
    <t>76</t>
  </si>
  <si>
    <t>Манзенское</t>
  </si>
  <si>
    <t>04609419</t>
  </si>
  <si>
    <t>77</t>
  </si>
  <si>
    <t>Межселенная территория Богучанского муниципального района, включающая д Заимка, д Каменка, д Прилуки</t>
  </si>
  <si>
    <t>04609702</t>
  </si>
  <si>
    <t>межселенная территория</t>
  </si>
  <si>
    <t>78</t>
  </si>
  <si>
    <t>Невонское</t>
  </si>
  <si>
    <t>04609422</t>
  </si>
  <si>
    <t>79</t>
  </si>
  <si>
    <t>Нижнетерянское</t>
  </si>
  <si>
    <t>04609424</t>
  </si>
  <si>
    <t>80</t>
  </si>
  <si>
    <t>Новохайское</t>
  </si>
  <si>
    <t>04609423</t>
  </si>
  <si>
    <t>81</t>
  </si>
  <si>
    <t>Октябрьское</t>
  </si>
  <si>
    <t>04609445</t>
  </si>
  <si>
    <t>82</t>
  </si>
  <si>
    <t>Осиновомысское</t>
  </si>
  <si>
    <t>04609425</t>
  </si>
  <si>
    <t>83</t>
  </si>
  <si>
    <t>Пинчугское</t>
  </si>
  <si>
    <t>04609428</t>
  </si>
  <si>
    <t>84</t>
  </si>
  <si>
    <t>Таежнинское</t>
  </si>
  <si>
    <t>04609430</t>
  </si>
  <si>
    <t>85</t>
  </si>
  <si>
    <t>Такучетское</t>
  </si>
  <si>
    <t>04609431</t>
  </si>
  <si>
    <t>86</t>
  </si>
  <si>
    <t>Хребтовское</t>
  </si>
  <si>
    <t>04609433</t>
  </si>
  <si>
    <t>87</t>
  </si>
  <si>
    <t>Чуноярское</t>
  </si>
  <si>
    <t>04609434</t>
  </si>
  <si>
    <t>88</t>
  </si>
  <si>
    <t>Шиверское</t>
  </si>
  <si>
    <t>04609440</t>
  </si>
  <si>
    <t>89</t>
  </si>
  <si>
    <t>Большемуртинский муниципальный район</t>
  </si>
  <si>
    <t>04610000</t>
  </si>
  <si>
    <t>Айтатское</t>
  </si>
  <si>
    <t>04610402</t>
  </si>
  <si>
    <t>90</t>
  </si>
  <si>
    <t>Бартатское</t>
  </si>
  <si>
    <t>04610404</t>
  </si>
  <si>
    <t>91</t>
  </si>
  <si>
    <t>92</t>
  </si>
  <si>
    <t>Верх-Казанское</t>
  </si>
  <si>
    <t>04610407</t>
  </si>
  <si>
    <t>93</t>
  </si>
  <si>
    <t>04610410</t>
  </si>
  <si>
    <t>94</t>
  </si>
  <si>
    <t>Ентаульское</t>
  </si>
  <si>
    <t>04610413</t>
  </si>
  <si>
    <t>95</t>
  </si>
  <si>
    <t>Межовское</t>
  </si>
  <si>
    <t>04610416</t>
  </si>
  <si>
    <t>96</t>
  </si>
  <si>
    <t>Поселок Большая Мурта</t>
  </si>
  <si>
    <t>04610151</t>
  </si>
  <si>
    <t>97</t>
  </si>
  <si>
    <t>Предивинский сельсовет</t>
  </si>
  <si>
    <t>04610433</t>
  </si>
  <si>
    <t>98</t>
  </si>
  <si>
    <t>Раздольненское</t>
  </si>
  <si>
    <t>04610428</t>
  </si>
  <si>
    <t>99</t>
  </si>
  <si>
    <t>Российское</t>
  </si>
  <si>
    <t>04610419</t>
  </si>
  <si>
    <t>100</t>
  </si>
  <si>
    <t>Таловское</t>
  </si>
  <si>
    <t>04610422</t>
  </si>
  <si>
    <t>101</t>
  </si>
  <si>
    <t>Юксеевское</t>
  </si>
  <si>
    <t>04610425</t>
  </si>
  <si>
    <t>102</t>
  </si>
  <si>
    <t>п Предивинск</t>
  </si>
  <si>
    <t>04610155</t>
  </si>
  <si>
    <t>103</t>
  </si>
  <si>
    <t>Большеулуйский муниципальный район</t>
  </si>
  <si>
    <t>04611000</t>
  </si>
  <si>
    <t>04611402</t>
  </si>
  <si>
    <t>104</t>
  </si>
  <si>
    <t>Бобровский сельсовет</t>
  </si>
  <si>
    <t>04611404</t>
  </si>
  <si>
    <t>105</t>
  </si>
  <si>
    <t>106</t>
  </si>
  <si>
    <t>Большеулуйское</t>
  </si>
  <si>
    <t>04611407</t>
  </si>
  <si>
    <t>107</t>
  </si>
  <si>
    <t>Бычковский сельсовет</t>
  </si>
  <si>
    <t>04611410</t>
  </si>
  <si>
    <t>108</t>
  </si>
  <si>
    <t>Кытатское</t>
  </si>
  <si>
    <t>04611419</t>
  </si>
  <si>
    <t>109</t>
  </si>
  <si>
    <t>Новоеловский сельсовет</t>
  </si>
  <si>
    <t>04611413</t>
  </si>
  <si>
    <t>110</t>
  </si>
  <si>
    <t>Новоникольский сельсовет</t>
  </si>
  <si>
    <t>04611422</t>
  </si>
  <si>
    <t>111</t>
  </si>
  <si>
    <t>Сучковский сельсовет</t>
  </si>
  <si>
    <t>04611416</t>
  </si>
  <si>
    <t>112</t>
  </si>
  <si>
    <t>Удачинский сельсовет</t>
  </si>
  <si>
    <t>04611425</t>
  </si>
  <si>
    <t>113</t>
  </si>
  <si>
    <t>Город Ачинск</t>
  </si>
  <si>
    <t>04703000</t>
  </si>
  <si>
    <t>городской округ</t>
  </si>
  <si>
    <t>114</t>
  </si>
  <si>
    <t>Город Боготол</t>
  </si>
  <si>
    <t>04706000</t>
  </si>
  <si>
    <t>115</t>
  </si>
  <si>
    <t>Город Бородино</t>
  </si>
  <si>
    <t>04707000</t>
  </si>
  <si>
    <t>116</t>
  </si>
  <si>
    <t>Город Дивногорск</t>
  </si>
  <si>
    <t>04709000</t>
  </si>
  <si>
    <t>117</t>
  </si>
  <si>
    <t>Город Енисейск</t>
  </si>
  <si>
    <t>04712000</t>
  </si>
  <si>
    <t>118</t>
  </si>
  <si>
    <t>Город Канск</t>
  </si>
  <si>
    <t>04720000</t>
  </si>
  <si>
    <t>119</t>
  </si>
  <si>
    <t>Город Красноярск</t>
  </si>
  <si>
    <t>04701000</t>
  </si>
  <si>
    <t>120</t>
  </si>
  <si>
    <t>Город Лесосибирск</t>
  </si>
  <si>
    <t>04722000</t>
  </si>
  <si>
    <t>121</t>
  </si>
  <si>
    <t>Город Минусинск</t>
  </si>
  <si>
    <t>04723000</t>
  </si>
  <si>
    <t>122</t>
  </si>
  <si>
    <t>Город Назарово</t>
  </si>
  <si>
    <t>04726000</t>
  </si>
  <si>
    <t>123</t>
  </si>
  <si>
    <t>Город Норильск</t>
  </si>
  <si>
    <t>04729000</t>
  </si>
  <si>
    <t>124</t>
  </si>
  <si>
    <t>Город Сосновоборск</t>
  </si>
  <si>
    <t>04733000</t>
  </si>
  <si>
    <t>125</t>
  </si>
  <si>
    <t>Город Шарыпово</t>
  </si>
  <si>
    <t>04740000</t>
  </si>
  <si>
    <t>126</t>
  </si>
  <si>
    <t>Дзержинский район</t>
  </si>
  <si>
    <t>04613000</t>
  </si>
  <si>
    <t>Александро-Ершинский сельсовет</t>
  </si>
  <si>
    <t>04613402</t>
  </si>
  <si>
    <t>127</t>
  </si>
  <si>
    <t>Денисовский сельсовет</t>
  </si>
  <si>
    <t>04613409</t>
  </si>
  <si>
    <t>128</t>
  </si>
  <si>
    <t>129</t>
  </si>
  <si>
    <t>Дзержинское</t>
  </si>
  <si>
    <t>04613410</t>
  </si>
  <si>
    <t>130</t>
  </si>
  <si>
    <t>Курайский сельсовет</t>
  </si>
  <si>
    <t>04613416</t>
  </si>
  <si>
    <t>131</t>
  </si>
  <si>
    <t>Михайловское</t>
  </si>
  <si>
    <t>04613419</t>
  </si>
  <si>
    <t>132</t>
  </si>
  <si>
    <t>Нижнетанайский сельсовет</t>
  </si>
  <si>
    <t>04613422</t>
  </si>
  <si>
    <t>133</t>
  </si>
  <si>
    <t>04613425</t>
  </si>
  <si>
    <t>134</t>
  </si>
  <si>
    <t>Шеломковский сельсовет</t>
  </si>
  <si>
    <t>04613431</t>
  </si>
  <si>
    <t>135</t>
  </si>
  <si>
    <t>Емельяновский муниципальный район</t>
  </si>
  <si>
    <t>04614000</t>
  </si>
  <si>
    <t>Гаревский сельсовет</t>
  </si>
  <si>
    <t>04614410</t>
  </si>
  <si>
    <t>136</t>
  </si>
  <si>
    <t>04614413</t>
  </si>
  <si>
    <t>137</t>
  </si>
  <si>
    <t>138</t>
  </si>
  <si>
    <t>Зеледеевское</t>
  </si>
  <si>
    <t>04614418</t>
  </si>
  <si>
    <t>139</t>
  </si>
  <si>
    <t>Мининское</t>
  </si>
  <si>
    <t>04614428</t>
  </si>
  <si>
    <t>140</t>
  </si>
  <si>
    <t>Михайловский сельсовет</t>
  </si>
  <si>
    <t>04614431</t>
  </si>
  <si>
    <t>141</t>
  </si>
  <si>
    <t>04614434</t>
  </si>
  <si>
    <t>142</t>
  </si>
  <si>
    <t>Поселок Емельяново</t>
  </si>
  <si>
    <t>04614151</t>
  </si>
  <si>
    <t>143</t>
  </si>
  <si>
    <t>Солонцовское</t>
  </si>
  <si>
    <t>04614437</t>
  </si>
  <si>
    <t>144</t>
  </si>
  <si>
    <t>Тальское</t>
  </si>
  <si>
    <t>04614440</t>
  </si>
  <si>
    <t>145</t>
  </si>
  <si>
    <t>Устюгское</t>
  </si>
  <si>
    <t>04614443</t>
  </si>
  <si>
    <t>146</t>
  </si>
  <si>
    <t>Частоостровское</t>
  </si>
  <si>
    <t>04614446</t>
  </si>
  <si>
    <t>147</t>
  </si>
  <si>
    <t>Шуваевское</t>
  </si>
  <si>
    <t>04614449</t>
  </si>
  <si>
    <t>148</t>
  </si>
  <si>
    <t>Элитовское</t>
  </si>
  <si>
    <t>04614404</t>
  </si>
  <si>
    <t>149</t>
  </si>
  <si>
    <t>поселок Памяти 13 Борцов</t>
  </si>
  <si>
    <t>04614156</t>
  </si>
  <si>
    <t>150</t>
  </si>
  <si>
    <t>сельсовет Памяти 13 Борцов</t>
  </si>
  <si>
    <t>04614452</t>
  </si>
  <si>
    <t>151</t>
  </si>
  <si>
    <t>Енисейский муниципальный район</t>
  </si>
  <si>
    <t>04615000</t>
  </si>
  <si>
    <t>Абалаковское</t>
  </si>
  <si>
    <t>04615402</t>
  </si>
  <si>
    <t>152</t>
  </si>
  <si>
    <t>Верхнепашинское</t>
  </si>
  <si>
    <t>04615407</t>
  </si>
  <si>
    <t>153</t>
  </si>
  <si>
    <t>Высокогорское</t>
  </si>
  <si>
    <t>04615408</t>
  </si>
  <si>
    <t>154</t>
  </si>
  <si>
    <t>Городищенское</t>
  </si>
  <si>
    <t>04615410</t>
  </si>
  <si>
    <t>155</t>
  </si>
  <si>
    <t>156</t>
  </si>
  <si>
    <t>Епишинское</t>
  </si>
  <si>
    <t>04615409</t>
  </si>
  <si>
    <t>157</t>
  </si>
  <si>
    <t>Железнодорожное</t>
  </si>
  <si>
    <t>04615411</t>
  </si>
  <si>
    <t>158</t>
  </si>
  <si>
    <t>Кривлякское</t>
  </si>
  <si>
    <t>04615412</t>
  </si>
  <si>
    <t>159</t>
  </si>
  <si>
    <t>Луговатское</t>
  </si>
  <si>
    <t>04615416</t>
  </si>
  <si>
    <t>160</t>
  </si>
  <si>
    <t>Майское</t>
  </si>
  <si>
    <t>04615418</t>
  </si>
  <si>
    <t>161</t>
  </si>
  <si>
    <t>Маковский сельсовет</t>
  </si>
  <si>
    <t>04615419</t>
  </si>
  <si>
    <t>162</t>
  </si>
  <si>
    <t>Малобельское</t>
  </si>
  <si>
    <t>04615421</t>
  </si>
  <si>
    <t>163</t>
  </si>
  <si>
    <t>Межселенная территория Енисейского муниципального района</t>
  </si>
  <si>
    <t>04615701</t>
  </si>
  <si>
    <t>164</t>
  </si>
  <si>
    <t>Новогородокское</t>
  </si>
  <si>
    <t>04615434</t>
  </si>
  <si>
    <t>165</t>
  </si>
  <si>
    <t>Новокаргинское</t>
  </si>
  <si>
    <t>04615437</t>
  </si>
  <si>
    <t>166</t>
  </si>
  <si>
    <t>Новоназимовское</t>
  </si>
  <si>
    <t>04615425</t>
  </si>
  <si>
    <t>167</t>
  </si>
  <si>
    <t>Озерновское</t>
  </si>
  <si>
    <t>04615439</t>
  </si>
  <si>
    <t>168</t>
  </si>
  <si>
    <t>Плотбищенское</t>
  </si>
  <si>
    <t>04615440</t>
  </si>
  <si>
    <t>169</t>
  </si>
  <si>
    <t>Погодаевское</t>
  </si>
  <si>
    <t>04615441</t>
  </si>
  <si>
    <t>170</t>
  </si>
  <si>
    <t>Подгорновское</t>
  </si>
  <si>
    <t>04615443</t>
  </si>
  <si>
    <t>171</t>
  </si>
  <si>
    <t>Поселок Подтесово</t>
  </si>
  <si>
    <t>04615155</t>
  </si>
  <si>
    <t>172</t>
  </si>
  <si>
    <t>Потаповское</t>
  </si>
  <si>
    <t>04615446</t>
  </si>
  <si>
    <t>173</t>
  </si>
  <si>
    <t>Сымский сельсовет</t>
  </si>
  <si>
    <t>04615449</t>
  </si>
  <si>
    <t>174</t>
  </si>
  <si>
    <t>Усть-Кемское</t>
  </si>
  <si>
    <t>04615452</t>
  </si>
  <si>
    <t>175</t>
  </si>
  <si>
    <t>Усть-Питское</t>
  </si>
  <si>
    <t>04615455</t>
  </si>
  <si>
    <t>176</t>
  </si>
  <si>
    <t>Чалбышевское</t>
  </si>
  <si>
    <t>04615456</t>
  </si>
  <si>
    <t>177</t>
  </si>
  <si>
    <t>Шапкинское</t>
  </si>
  <si>
    <t>04615457</t>
  </si>
  <si>
    <t>178</t>
  </si>
  <si>
    <t>Ярцевское</t>
  </si>
  <si>
    <t>04615458</t>
  </si>
  <si>
    <t>179</t>
  </si>
  <si>
    <t>Ермаковский муниципальный район</t>
  </si>
  <si>
    <t>04616000</t>
  </si>
  <si>
    <t>Араданский сельсовет</t>
  </si>
  <si>
    <t>04616402</t>
  </si>
  <si>
    <t>180</t>
  </si>
  <si>
    <t>Верхнеусинское</t>
  </si>
  <si>
    <t>04616404</t>
  </si>
  <si>
    <t>181</t>
  </si>
  <si>
    <t>Григорьевское</t>
  </si>
  <si>
    <t>04616407</t>
  </si>
  <si>
    <t>182</t>
  </si>
  <si>
    <t>183</t>
  </si>
  <si>
    <t>Ермаковское</t>
  </si>
  <si>
    <t>04616410</t>
  </si>
  <si>
    <t>184</t>
  </si>
  <si>
    <t>Жеблахтинский сельсовет</t>
  </si>
  <si>
    <t>04616413</t>
  </si>
  <si>
    <t>185</t>
  </si>
  <si>
    <t>Ивановское</t>
  </si>
  <si>
    <t>04616414</t>
  </si>
  <si>
    <t>186</t>
  </si>
  <si>
    <t>Мигнинское</t>
  </si>
  <si>
    <t>04616416</t>
  </si>
  <si>
    <t>187</t>
  </si>
  <si>
    <t>Нижнесуэтукское</t>
  </si>
  <si>
    <t>04616419</t>
  </si>
  <si>
    <t>188</t>
  </si>
  <si>
    <t>Новополтавское</t>
  </si>
  <si>
    <t>04616422</t>
  </si>
  <si>
    <t>189</t>
  </si>
  <si>
    <t>Ойское</t>
  </si>
  <si>
    <t>04616428</t>
  </si>
  <si>
    <t>190</t>
  </si>
  <si>
    <t>Разъезженское</t>
  </si>
  <si>
    <t>04616425</t>
  </si>
  <si>
    <t>191</t>
  </si>
  <si>
    <t>Салбинское</t>
  </si>
  <si>
    <t>04616429</t>
  </si>
  <si>
    <t>192</t>
  </si>
  <si>
    <t>Семенниковское</t>
  </si>
  <si>
    <t>04616431</t>
  </si>
  <si>
    <t>193</t>
  </si>
  <si>
    <t>Танзыбейское</t>
  </si>
  <si>
    <t>04616434</t>
  </si>
  <si>
    <t>194</t>
  </si>
  <si>
    <t>ЗАТО город Железногорск</t>
  </si>
  <si>
    <t>04735000</t>
  </si>
  <si>
    <t>195</t>
  </si>
  <si>
    <t>ЗАТО город Зеленогорск</t>
  </si>
  <si>
    <t>04737000</t>
  </si>
  <si>
    <t>196</t>
  </si>
  <si>
    <t>ЗАТО поселок Солнечный</t>
  </si>
  <si>
    <t>04780000</t>
  </si>
  <si>
    <t>197</t>
  </si>
  <si>
    <t>Идринский муниципальный район</t>
  </si>
  <si>
    <t>04617000</t>
  </si>
  <si>
    <t>Большекнышинский сельсовет</t>
  </si>
  <si>
    <t>04617404</t>
  </si>
  <si>
    <t>198</t>
  </si>
  <si>
    <t>Большесалбинский сельсовет</t>
  </si>
  <si>
    <t>04617407</t>
  </si>
  <si>
    <t>199</t>
  </si>
  <si>
    <t>Большетелекский сельсовет</t>
  </si>
  <si>
    <t>04617410</t>
  </si>
  <si>
    <t>200</t>
  </si>
  <si>
    <t>Большехабыкский сельсовет</t>
  </si>
  <si>
    <t>04617413</t>
  </si>
  <si>
    <t>201</t>
  </si>
  <si>
    <t>Добромысловский сельсовет</t>
  </si>
  <si>
    <t>04617416</t>
  </si>
  <si>
    <t>202</t>
  </si>
  <si>
    <t>Екатерининский сельсовет</t>
  </si>
  <si>
    <t>04617419</t>
  </si>
  <si>
    <t>203</t>
  </si>
  <si>
    <t>204</t>
  </si>
  <si>
    <t>Идринское</t>
  </si>
  <si>
    <t>04617422</t>
  </si>
  <si>
    <t>205</t>
  </si>
  <si>
    <t>Курежский сельсовет</t>
  </si>
  <si>
    <t>04617423</t>
  </si>
  <si>
    <t>206</t>
  </si>
  <si>
    <t>Майский сельсовет</t>
  </si>
  <si>
    <t>04617425</t>
  </si>
  <si>
    <t>207</t>
  </si>
  <si>
    <t>Малохабыкский сельсовет</t>
  </si>
  <si>
    <t>04617426</t>
  </si>
  <si>
    <t>208</t>
  </si>
  <si>
    <t>04617428</t>
  </si>
  <si>
    <t>209</t>
  </si>
  <si>
    <t>Новоберезовский сельсовет</t>
  </si>
  <si>
    <t>04617429</t>
  </si>
  <si>
    <t>210</t>
  </si>
  <si>
    <t>Новотроицкий сельсовет</t>
  </si>
  <si>
    <t>04617430</t>
  </si>
  <si>
    <t>211</t>
  </si>
  <si>
    <t>Отрокский сельсовет</t>
  </si>
  <si>
    <t>04617437</t>
  </si>
  <si>
    <t>212</t>
  </si>
  <si>
    <t>Романовский сельсовет</t>
  </si>
  <si>
    <t>04617440</t>
  </si>
  <si>
    <t>213</t>
  </si>
  <si>
    <t>Центральный сельсовет</t>
  </si>
  <si>
    <t>04617450</t>
  </si>
  <si>
    <t>214</t>
  </si>
  <si>
    <t>Иланский муниципальный район</t>
  </si>
  <si>
    <t>04618000</t>
  </si>
  <si>
    <t>Далайский сельсовет</t>
  </si>
  <si>
    <t>04618402</t>
  </si>
  <si>
    <t>215</t>
  </si>
  <si>
    <t>Ельниковское</t>
  </si>
  <si>
    <t>04618404</t>
  </si>
  <si>
    <t>216</t>
  </si>
  <si>
    <t>217</t>
  </si>
  <si>
    <t>Карапсельское</t>
  </si>
  <si>
    <t>04618407</t>
  </si>
  <si>
    <t>218</t>
  </si>
  <si>
    <t>Кучердаевское</t>
  </si>
  <si>
    <t>04618410</t>
  </si>
  <si>
    <t>219</t>
  </si>
  <si>
    <t>Новогородский сельсовет</t>
  </si>
  <si>
    <t>04618413</t>
  </si>
  <si>
    <t>220</t>
  </si>
  <si>
    <t>Новониколаевское</t>
  </si>
  <si>
    <t>04618416</t>
  </si>
  <si>
    <t>221</t>
  </si>
  <si>
    <t>Новопокровский сельсовет</t>
  </si>
  <si>
    <t>04618419</t>
  </si>
  <si>
    <t>222</t>
  </si>
  <si>
    <t>Соколовский сельсовет</t>
  </si>
  <si>
    <t>04618422</t>
  </si>
  <si>
    <t>223</t>
  </si>
  <si>
    <t>Южно-Александровское</t>
  </si>
  <si>
    <t>04618425</t>
  </si>
  <si>
    <t>224</t>
  </si>
  <si>
    <t>город Иланский</t>
  </si>
  <si>
    <t>04618101</t>
  </si>
  <si>
    <t>городское поселение, в состав которого входит город</t>
  </si>
  <si>
    <t>225</t>
  </si>
  <si>
    <t>Ирбейский муниципальный район</t>
  </si>
  <si>
    <t>04619000</t>
  </si>
  <si>
    <t>Александровский сельсовет</t>
  </si>
  <si>
    <t>04619402</t>
  </si>
  <si>
    <t>226</t>
  </si>
  <si>
    <t>Благовещенское</t>
  </si>
  <si>
    <t>04619404</t>
  </si>
  <si>
    <t>227</t>
  </si>
  <si>
    <t>Верхнеуринское</t>
  </si>
  <si>
    <t>04619407</t>
  </si>
  <si>
    <t>228</t>
  </si>
  <si>
    <t>04619410</t>
  </si>
  <si>
    <t>229</t>
  </si>
  <si>
    <t>Изумрудновское</t>
  </si>
  <si>
    <t>04619411</t>
  </si>
  <si>
    <t>230</t>
  </si>
  <si>
    <t>231</t>
  </si>
  <si>
    <t>Ирбейское</t>
  </si>
  <si>
    <t>04619413</t>
  </si>
  <si>
    <t>232</t>
  </si>
  <si>
    <t>Маловский сельсовет</t>
  </si>
  <si>
    <t>04619418</t>
  </si>
  <si>
    <t>233</t>
  </si>
  <si>
    <t>Мельничное</t>
  </si>
  <si>
    <t>04619419</t>
  </si>
  <si>
    <t>234</t>
  </si>
  <si>
    <t>04619422</t>
  </si>
  <si>
    <t>235</t>
  </si>
  <si>
    <t>Сергеевское</t>
  </si>
  <si>
    <t>04619425</t>
  </si>
  <si>
    <t>236</t>
  </si>
  <si>
    <t>Степановское</t>
  </si>
  <si>
    <t>04619429</t>
  </si>
  <si>
    <t>237</t>
  </si>
  <si>
    <t>04619431</t>
  </si>
  <si>
    <t>238</t>
  </si>
  <si>
    <t>Тумаковское</t>
  </si>
  <si>
    <t>04619443</t>
  </si>
  <si>
    <t>239</t>
  </si>
  <si>
    <t>Успенское</t>
  </si>
  <si>
    <t>04619434</t>
  </si>
  <si>
    <t>240</t>
  </si>
  <si>
    <t>Усть-Каначульское</t>
  </si>
  <si>
    <t>04619437</t>
  </si>
  <si>
    <t>241</t>
  </si>
  <si>
    <t>Усть-Ярульское</t>
  </si>
  <si>
    <t>04619440</t>
  </si>
  <si>
    <t>242</t>
  </si>
  <si>
    <t>Чухломинское</t>
  </si>
  <si>
    <t>04619450</t>
  </si>
  <si>
    <t>243</t>
  </si>
  <si>
    <t>Юдинское</t>
  </si>
  <si>
    <t>04619416</t>
  </si>
  <si>
    <t>244</t>
  </si>
  <si>
    <t>Казачинский муниципальный район</t>
  </si>
  <si>
    <t>04620000</t>
  </si>
  <si>
    <t>04620402</t>
  </si>
  <si>
    <t>245</t>
  </si>
  <si>
    <t>Вороковский сельсовет</t>
  </si>
  <si>
    <t>04620404</t>
  </si>
  <si>
    <t>246</t>
  </si>
  <si>
    <t>Галанинский сельсовет</t>
  </si>
  <si>
    <t>04620405</t>
  </si>
  <si>
    <t>247</t>
  </si>
  <si>
    <t>Дудовский сельсовет</t>
  </si>
  <si>
    <t>04620407</t>
  </si>
  <si>
    <t>248</t>
  </si>
  <si>
    <t>Захаровский сельсовет</t>
  </si>
  <si>
    <t>04620410</t>
  </si>
  <si>
    <t>249</t>
  </si>
  <si>
    <t>250</t>
  </si>
  <si>
    <t>Казачинское</t>
  </si>
  <si>
    <t>04620413</t>
  </si>
  <si>
    <t>251</t>
  </si>
  <si>
    <t>Курбатовский сельсовет</t>
  </si>
  <si>
    <t>04620416</t>
  </si>
  <si>
    <t>252</t>
  </si>
  <si>
    <t>Мокрушинский сельсовет</t>
  </si>
  <si>
    <t>04620419</t>
  </si>
  <si>
    <t>253</t>
  </si>
  <si>
    <t>Момотовский сельсовет</t>
  </si>
  <si>
    <t>04620422</t>
  </si>
  <si>
    <t>254</t>
  </si>
  <si>
    <t>04620424</t>
  </si>
  <si>
    <t>255</t>
  </si>
  <si>
    <t>Отношенский сельсовет</t>
  </si>
  <si>
    <t>04620425</t>
  </si>
  <si>
    <t>256</t>
  </si>
  <si>
    <t>Пятковский сельсовет</t>
  </si>
  <si>
    <t>04620428</t>
  </si>
  <si>
    <t>257</t>
  </si>
  <si>
    <t>Рождественский сельсовет</t>
  </si>
  <si>
    <t>04620431</t>
  </si>
  <si>
    <t>258</t>
  </si>
  <si>
    <t>Талажанский сельсовет</t>
  </si>
  <si>
    <t>04620434</t>
  </si>
  <si>
    <t>259</t>
  </si>
  <si>
    <t>Канский муниципальный район</t>
  </si>
  <si>
    <t>04621000</t>
  </si>
  <si>
    <t>Амонашенский сельсовет</t>
  </si>
  <si>
    <t>04621402</t>
  </si>
  <si>
    <t>260</t>
  </si>
  <si>
    <t>Анцирское</t>
  </si>
  <si>
    <t>04621404</t>
  </si>
  <si>
    <t>261</t>
  </si>
  <si>
    <t>Астафьевское</t>
  </si>
  <si>
    <t>04621407</t>
  </si>
  <si>
    <t>262</t>
  </si>
  <si>
    <t>Большеуринское</t>
  </si>
  <si>
    <t>04621410</t>
  </si>
  <si>
    <t>263</t>
  </si>
  <si>
    <t>Браженское</t>
  </si>
  <si>
    <t>04621413</t>
  </si>
  <si>
    <t>264</t>
  </si>
  <si>
    <t>Верх-Амонашенское</t>
  </si>
  <si>
    <t>04621416</t>
  </si>
  <si>
    <t>265</t>
  </si>
  <si>
    <t>Георгиевское</t>
  </si>
  <si>
    <t>04621419</t>
  </si>
  <si>
    <t>266</t>
  </si>
  <si>
    <t>267</t>
  </si>
  <si>
    <t>Краснокурышинский сельсовет</t>
  </si>
  <si>
    <t>04621422</t>
  </si>
  <si>
    <t>268</t>
  </si>
  <si>
    <t>Мокрушинское</t>
  </si>
  <si>
    <t>04621425</t>
  </si>
  <si>
    <t>269</t>
  </si>
  <si>
    <t>Рудянское</t>
  </si>
  <si>
    <t>04621431</t>
  </si>
  <si>
    <t>270</t>
  </si>
  <si>
    <t>Сотниковское</t>
  </si>
  <si>
    <t>04621434</t>
  </si>
  <si>
    <t>271</t>
  </si>
  <si>
    <t>Таеженское</t>
  </si>
  <si>
    <t>04621436</t>
  </si>
  <si>
    <t>272</t>
  </si>
  <si>
    <t>Терское</t>
  </si>
  <si>
    <t>04621437</t>
  </si>
  <si>
    <t>273</t>
  </si>
  <si>
    <t>Филимоновское</t>
  </si>
  <si>
    <t>04621438</t>
  </si>
  <si>
    <t>274</t>
  </si>
  <si>
    <t>Чечеульское</t>
  </si>
  <si>
    <t>04621440</t>
  </si>
  <si>
    <t>275</t>
  </si>
  <si>
    <t>Каратузский муниципальный район</t>
  </si>
  <si>
    <t>04622000</t>
  </si>
  <si>
    <t>Амыльский сельсовет</t>
  </si>
  <si>
    <t>04622402</t>
  </si>
  <si>
    <t>276</t>
  </si>
  <si>
    <t>Верхнекужебарское</t>
  </si>
  <si>
    <t>04622404</t>
  </si>
  <si>
    <t>277</t>
  </si>
  <si>
    <t>278</t>
  </si>
  <si>
    <t>Каратузское</t>
  </si>
  <si>
    <t>04622407</t>
  </si>
  <si>
    <t>279</t>
  </si>
  <si>
    <t>Качульский сельсовет</t>
  </si>
  <si>
    <t>04622410</t>
  </si>
  <si>
    <t>280</t>
  </si>
  <si>
    <t>Лебедевский сельсовет</t>
  </si>
  <si>
    <t>04622411</t>
  </si>
  <si>
    <t>281</t>
  </si>
  <si>
    <t>Моторское</t>
  </si>
  <si>
    <t>04622413</t>
  </si>
  <si>
    <t>282</t>
  </si>
  <si>
    <t>Нижнекужебарское</t>
  </si>
  <si>
    <t>04622416</t>
  </si>
  <si>
    <t>283</t>
  </si>
  <si>
    <t>Нижнекурятский сельсовет</t>
  </si>
  <si>
    <t>04622419</t>
  </si>
  <si>
    <t>284</t>
  </si>
  <si>
    <t>Сагайский сельсовет</t>
  </si>
  <si>
    <t>04622422</t>
  </si>
  <si>
    <t>285</t>
  </si>
  <si>
    <t>Старокопский сельсовет</t>
  </si>
  <si>
    <t>04622425</t>
  </si>
  <si>
    <t>286</t>
  </si>
  <si>
    <t>Таскинское</t>
  </si>
  <si>
    <t>04622428</t>
  </si>
  <si>
    <t>287</t>
  </si>
  <si>
    <t>Таятский сельсовет</t>
  </si>
  <si>
    <t>04622431</t>
  </si>
  <si>
    <t>288</t>
  </si>
  <si>
    <t>Уджейское</t>
  </si>
  <si>
    <t>04622432</t>
  </si>
  <si>
    <t>289</t>
  </si>
  <si>
    <t>Черемушинское</t>
  </si>
  <si>
    <t>04622434</t>
  </si>
  <si>
    <t>290</t>
  </si>
  <si>
    <t>Кежемский муниципальный район</t>
  </si>
  <si>
    <t>04624000</t>
  </si>
  <si>
    <t>Город Кодинск</t>
  </si>
  <si>
    <t>04624101</t>
  </si>
  <si>
    <t>291</t>
  </si>
  <si>
    <t>Дворецкий сельсовет</t>
  </si>
  <si>
    <t>04624402</t>
  </si>
  <si>
    <t>292</t>
  </si>
  <si>
    <t>Заледеевское</t>
  </si>
  <si>
    <t>04624403</t>
  </si>
  <si>
    <t>293</t>
  </si>
  <si>
    <t>Имбинское</t>
  </si>
  <si>
    <t>04624406</t>
  </si>
  <si>
    <t>294</t>
  </si>
  <si>
    <t>Ирбинский сельсовет</t>
  </si>
  <si>
    <t>04624405</t>
  </si>
  <si>
    <t>295</t>
  </si>
  <si>
    <t>296</t>
  </si>
  <si>
    <t>Кежемское</t>
  </si>
  <si>
    <t>04624404</t>
  </si>
  <si>
    <t>297</t>
  </si>
  <si>
    <t>Межселенная территория Кежемского муниципального района, включающая д Аксеново, п Болтурино, п Таежный</t>
  </si>
  <si>
    <t>04624701</t>
  </si>
  <si>
    <t>298</t>
  </si>
  <si>
    <t>Недокурское</t>
  </si>
  <si>
    <t>04624407</t>
  </si>
  <si>
    <t>299</t>
  </si>
  <si>
    <t>Ново-Кежемский сельсовет</t>
  </si>
  <si>
    <t>04624408</t>
  </si>
  <si>
    <t>300</t>
  </si>
  <si>
    <t>Пановское</t>
  </si>
  <si>
    <t>04624410</t>
  </si>
  <si>
    <t>301</t>
  </si>
  <si>
    <t>Проспихинский сельсовет</t>
  </si>
  <si>
    <t>04624413</t>
  </si>
  <si>
    <t>302</t>
  </si>
  <si>
    <t>Тагарское</t>
  </si>
  <si>
    <t>04624412</t>
  </si>
  <si>
    <t>303</t>
  </si>
  <si>
    <t>Таежинское</t>
  </si>
  <si>
    <t>04624416</t>
  </si>
  <si>
    <t>304</t>
  </si>
  <si>
    <t>Яркинский сельсовет</t>
  </si>
  <si>
    <t>04624422</t>
  </si>
  <si>
    <t>305</t>
  </si>
  <si>
    <t>Козульский муниципальный район</t>
  </si>
  <si>
    <t>04626000</t>
  </si>
  <si>
    <t>Балахтонский сельсовет</t>
  </si>
  <si>
    <t>04626402</t>
  </si>
  <si>
    <t>306</t>
  </si>
  <si>
    <t>Жуковское</t>
  </si>
  <si>
    <t>04626404</t>
  </si>
  <si>
    <t>307</t>
  </si>
  <si>
    <t>308</t>
  </si>
  <si>
    <t>Лазурненское</t>
  </si>
  <si>
    <t>04626409</t>
  </si>
  <si>
    <t>309</t>
  </si>
  <si>
    <t>Новочернореченский сельсовет</t>
  </si>
  <si>
    <t>04626414</t>
  </si>
  <si>
    <t>310</t>
  </si>
  <si>
    <t>Поселок Козулька</t>
  </si>
  <si>
    <t>04626151</t>
  </si>
  <si>
    <t>311</t>
  </si>
  <si>
    <t>Шадринский сельсовет</t>
  </si>
  <si>
    <t>04626430</t>
  </si>
  <si>
    <t>312</t>
  </si>
  <si>
    <t>поселок Новочернореченский</t>
  </si>
  <si>
    <t>04626154</t>
  </si>
  <si>
    <t>313</t>
  </si>
  <si>
    <t>Краснотуранский муниципальный район</t>
  </si>
  <si>
    <t>04628000</t>
  </si>
  <si>
    <t>Беллыкское</t>
  </si>
  <si>
    <t>04628404</t>
  </si>
  <si>
    <t>314</t>
  </si>
  <si>
    <t>Восточное</t>
  </si>
  <si>
    <t>04628407</t>
  </si>
  <si>
    <t>315</t>
  </si>
  <si>
    <t>Кортузское</t>
  </si>
  <si>
    <t>04628411</t>
  </si>
  <si>
    <t>316</t>
  </si>
  <si>
    <t>317</t>
  </si>
  <si>
    <t>Краснотуранское</t>
  </si>
  <si>
    <t>04628413</t>
  </si>
  <si>
    <t>318</t>
  </si>
  <si>
    <t>Лебяженское</t>
  </si>
  <si>
    <t>04628416</t>
  </si>
  <si>
    <t>319</t>
  </si>
  <si>
    <t>Новосыдинское</t>
  </si>
  <si>
    <t>04628419</t>
  </si>
  <si>
    <t>320</t>
  </si>
  <si>
    <t>04628421</t>
  </si>
  <si>
    <t>321</t>
  </si>
  <si>
    <t>Саянское</t>
  </si>
  <si>
    <t>04628425</t>
  </si>
  <si>
    <t>322</t>
  </si>
  <si>
    <t>Тубинское</t>
  </si>
  <si>
    <t>04628428</t>
  </si>
  <si>
    <t>323</t>
  </si>
  <si>
    <t>Курагинский муниципальный район</t>
  </si>
  <si>
    <t>04630000</t>
  </si>
  <si>
    <t>Алексеевское</t>
  </si>
  <si>
    <t>04630402</t>
  </si>
  <si>
    <t>324</t>
  </si>
  <si>
    <t>Березовское</t>
  </si>
  <si>
    <t>04630404</t>
  </si>
  <si>
    <t>325</t>
  </si>
  <si>
    <t>Брагинское</t>
  </si>
  <si>
    <t>04630407</t>
  </si>
  <si>
    <t>326</t>
  </si>
  <si>
    <t>Детловское</t>
  </si>
  <si>
    <t>04630410</t>
  </si>
  <si>
    <t>327</t>
  </si>
  <si>
    <t>Имисское</t>
  </si>
  <si>
    <t>04630416</t>
  </si>
  <si>
    <t>328</t>
  </si>
  <si>
    <t>Кордовское</t>
  </si>
  <si>
    <t>04630419</t>
  </si>
  <si>
    <t>329</t>
  </si>
  <si>
    <t>Кочергинское</t>
  </si>
  <si>
    <t>04630420</t>
  </si>
  <si>
    <t>330</t>
  </si>
  <si>
    <t>331</t>
  </si>
  <si>
    <t>Курское</t>
  </si>
  <si>
    <t>04630422</t>
  </si>
  <si>
    <t>332</t>
  </si>
  <si>
    <t>Марининское</t>
  </si>
  <si>
    <t>04630413</t>
  </si>
  <si>
    <t>333</t>
  </si>
  <si>
    <t>Можарское</t>
  </si>
  <si>
    <t>04630425</t>
  </si>
  <si>
    <t>334</t>
  </si>
  <si>
    <t>Муринский сельсовет</t>
  </si>
  <si>
    <t>04630428</t>
  </si>
  <si>
    <t>335</t>
  </si>
  <si>
    <t>Пойловское</t>
  </si>
  <si>
    <t>04630437</t>
  </si>
  <si>
    <t>336</t>
  </si>
  <si>
    <t>Поселок Кошурниково</t>
  </si>
  <si>
    <t>04630153</t>
  </si>
  <si>
    <t>337</t>
  </si>
  <si>
    <t>Поселок Курагино</t>
  </si>
  <si>
    <t>04630151</t>
  </si>
  <si>
    <t>338</t>
  </si>
  <si>
    <t>Рощинское</t>
  </si>
  <si>
    <t>04630442</t>
  </si>
  <si>
    <t>339</t>
  </si>
  <si>
    <t>Черемшанкское</t>
  </si>
  <si>
    <t>04630446</t>
  </si>
  <si>
    <t>340</t>
  </si>
  <si>
    <t>Чибижекский сельсовет</t>
  </si>
  <si>
    <t>04630457</t>
  </si>
  <si>
    <t>341</t>
  </si>
  <si>
    <t>Шалоболинское</t>
  </si>
  <si>
    <t>04630449</t>
  </si>
  <si>
    <t>342</t>
  </si>
  <si>
    <t>Щетинкинское</t>
  </si>
  <si>
    <t>04630452</t>
  </si>
  <si>
    <t>343</t>
  </si>
  <si>
    <t>город Артемовск</t>
  </si>
  <si>
    <t>04630102</t>
  </si>
  <si>
    <t>344</t>
  </si>
  <si>
    <t>поселок Большая Ирба</t>
  </si>
  <si>
    <t>04630152</t>
  </si>
  <si>
    <t>345</t>
  </si>
  <si>
    <t>поселок Краснокаменск</t>
  </si>
  <si>
    <t>04630154</t>
  </si>
  <si>
    <t>346</t>
  </si>
  <si>
    <t>поселок Чибижек</t>
  </si>
  <si>
    <t>04630156</t>
  </si>
  <si>
    <t>347</t>
  </si>
  <si>
    <t>Манский муниципальный район</t>
  </si>
  <si>
    <t>04631000</t>
  </si>
  <si>
    <t>Выезжелогское</t>
  </si>
  <si>
    <t>04631404</t>
  </si>
  <si>
    <t>348</t>
  </si>
  <si>
    <t>Камарчагское</t>
  </si>
  <si>
    <t>04631407</t>
  </si>
  <si>
    <t>349</t>
  </si>
  <si>
    <t>Каменское</t>
  </si>
  <si>
    <t>04631408</t>
  </si>
  <si>
    <t>350</t>
  </si>
  <si>
    <t>Кияйское</t>
  </si>
  <si>
    <t>04631410</t>
  </si>
  <si>
    <t>351</t>
  </si>
  <si>
    <t>Колбинское</t>
  </si>
  <si>
    <t>04631413</t>
  </si>
  <si>
    <t>352</t>
  </si>
  <si>
    <t>353</t>
  </si>
  <si>
    <t>Нарвинское</t>
  </si>
  <si>
    <t>04631416</t>
  </si>
  <si>
    <t>354</t>
  </si>
  <si>
    <t>Орешенский сельсовет</t>
  </si>
  <si>
    <t>04631419</t>
  </si>
  <si>
    <t>355</t>
  </si>
  <si>
    <t>Первоманское</t>
  </si>
  <si>
    <t>04631421</t>
  </si>
  <si>
    <t>356</t>
  </si>
  <si>
    <t>Степно-Баджейский сельсовет</t>
  </si>
  <si>
    <t>04631428</t>
  </si>
  <si>
    <t>357</t>
  </si>
  <si>
    <t>Унгутское</t>
  </si>
  <si>
    <t>04631434</t>
  </si>
  <si>
    <t>358</t>
  </si>
  <si>
    <t>Шалинское</t>
  </si>
  <si>
    <t>04631437</t>
  </si>
  <si>
    <t>359</t>
  </si>
  <si>
    <t>Минусинский муниципальный район</t>
  </si>
  <si>
    <t>04633000</t>
  </si>
  <si>
    <t>Большеничкинское</t>
  </si>
  <si>
    <t>04633404</t>
  </si>
  <si>
    <t>360</t>
  </si>
  <si>
    <t>Городокское</t>
  </si>
  <si>
    <t>04633410</t>
  </si>
  <si>
    <t>361</t>
  </si>
  <si>
    <t>Жерлыкское</t>
  </si>
  <si>
    <t>04633412</t>
  </si>
  <si>
    <t>362</t>
  </si>
  <si>
    <t>Знаменское</t>
  </si>
  <si>
    <t>04633413</t>
  </si>
  <si>
    <t>363</t>
  </si>
  <si>
    <t>Кавказское</t>
  </si>
  <si>
    <t>04633416</t>
  </si>
  <si>
    <t>364</t>
  </si>
  <si>
    <t>Лугавское</t>
  </si>
  <si>
    <t>04633420</t>
  </si>
  <si>
    <t>365</t>
  </si>
  <si>
    <t>Маломинусинское</t>
  </si>
  <si>
    <t>04633422</t>
  </si>
  <si>
    <t>366</t>
  </si>
  <si>
    <t>367</t>
  </si>
  <si>
    <t>Новотроицкое</t>
  </si>
  <si>
    <t>04633426</t>
  </si>
  <si>
    <t>368</t>
  </si>
  <si>
    <t>Прихолмское</t>
  </si>
  <si>
    <t>04633423</t>
  </si>
  <si>
    <t>369</t>
  </si>
  <si>
    <t>Селиванихинское</t>
  </si>
  <si>
    <t>04633424</t>
  </si>
  <si>
    <t>370</t>
  </si>
  <si>
    <t>Тесинское</t>
  </si>
  <si>
    <t>04633402</t>
  </si>
  <si>
    <t>371</t>
  </si>
  <si>
    <t>Тигрицкое</t>
  </si>
  <si>
    <t>04633425</t>
  </si>
  <si>
    <t>372</t>
  </si>
  <si>
    <t>Шошинское</t>
  </si>
  <si>
    <t>04633432</t>
  </si>
  <si>
    <t>373</t>
  </si>
  <si>
    <t>Мотыгинский муниципальный район</t>
  </si>
  <si>
    <t>04635000</t>
  </si>
  <si>
    <t>Кирсантьевский сельсовет</t>
  </si>
  <si>
    <t>04635405</t>
  </si>
  <si>
    <t>374</t>
  </si>
  <si>
    <t>Кулаковский сельсовет</t>
  </si>
  <si>
    <t>04635407</t>
  </si>
  <si>
    <t>375</t>
  </si>
  <si>
    <t>Машуковское</t>
  </si>
  <si>
    <t>04635410</t>
  </si>
  <si>
    <t>376</t>
  </si>
  <si>
    <t>Межселенная территория Мотыгинского муниципального района</t>
  </si>
  <si>
    <t>04635701</t>
  </si>
  <si>
    <t>377</t>
  </si>
  <si>
    <t>378</t>
  </si>
  <si>
    <t>Новоангарское</t>
  </si>
  <si>
    <t>04635412</t>
  </si>
  <si>
    <t>379</t>
  </si>
  <si>
    <t>Орджоникидзевское</t>
  </si>
  <si>
    <t>04635413</t>
  </si>
  <si>
    <t>380</t>
  </si>
  <si>
    <t>Партизанское</t>
  </si>
  <si>
    <t>04635416</t>
  </si>
  <si>
    <t>381</t>
  </si>
  <si>
    <t>Первомайский сельсовет</t>
  </si>
  <si>
    <t>04635419</t>
  </si>
  <si>
    <t>382</t>
  </si>
  <si>
    <t>Рыбинский сельсовет</t>
  </si>
  <si>
    <t>04635421</t>
  </si>
  <si>
    <t>383</t>
  </si>
  <si>
    <t>Южно-Енисейский сельсовет</t>
  </si>
  <si>
    <t>04635426</t>
  </si>
  <si>
    <t>384</t>
  </si>
  <si>
    <t>поселок Мотыгино</t>
  </si>
  <si>
    <t>04635151</t>
  </si>
  <si>
    <t>385</t>
  </si>
  <si>
    <t>поселок Раздолинск</t>
  </si>
  <si>
    <t>04635154</t>
  </si>
  <si>
    <t>386</t>
  </si>
  <si>
    <t>поселок Южно-Енисейск</t>
  </si>
  <si>
    <t>04635157</t>
  </si>
  <si>
    <t>387</t>
  </si>
  <si>
    <t>Назаровский муниципальный район</t>
  </si>
  <si>
    <t>04637000</t>
  </si>
  <si>
    <t>Верхнеададымский сельсовет</t>
  </si>
  <si>
    <t>04637404</t>
  </si>
  <si>
    <t>388</t>
  </si>
  <si>
    <t>Гляденское</t>
  </si>
  <si>
    <t>04637407</t>
  </si>
  <si>
    <t>389</t>
  </si>
  <si>
    <t>Дороховское</t>
  </si>
  <si>
    <t>04637410</t>
  </si>
  <si>
    <t>390</t>
  </si>
  <si>
    <t>Краснополянское</t>
  </si>
  <si>
    <t>04637431</t>
  </si>
  <si>
    <t>391</t>
  </si>
  <si>
    <t>Красносопкинское</t>
  </si>
  <si>
    <t>04637413</t>
  </si>
  <si>
    <t>392</t>
  </si>
  <si>
    <t>393</t>
  </si>
  <si>
    <t>Павловское</t>
  </si>
  <si>
    <t>04637419</t>
  </si>
  <si>
    <t>394</t>
  </si>
  <si>
    <t>Подсосенское</t>
  </si>
  <si>
    <t>04637422</t>
  </si>
  <si>
    <t>395</t>
  </si>
  <si>
    <t>04637425</t>
  </si>
  <si>
    <t>396</t>
  </si>
  <si>
    <t>Сахаптинское</t>
  </si>
  <si>
    <t>04637428</t>
  </si>
  <si>
    <t>397</t>
  </si>
  <si>
    <t>Степное</t>
  </si>
  <si>
    <t>04637437</t>
  </si>
  <si>
    <t>398</t>
  </si>
  <si>
    <t>Нижнеингашский муниципальный район</t>
  </si>
  <si>
    <t>04639000</t>
  </si>
  <si>
    <t>04639402</t>
  </si>
  <si>
    <t>399</t>
  </si>
  <si>
    <t>Верхнеингашский сельсовет</t>
  </si>
  <si>
    <t>04639404</t>
  </si>
  <si>
    <t>400</t>
  </si>
  <si>
    <t>Ивановский сельсовет</t>
  </si>
  <si>
    <t>04639407</t>
  </si>
  <si>
    <t>401</t>
  </si>
  <si>
    <t>Канифольнинское</t>
  </si>
  <si>
    <t>04639410</t>
  </si>
  <si>
    <t>402</t>
  </si>
  <si>
    <t>Касьяновский сельсовет</t>
  </si>
  <si>
    <t>04639413</t>
  </si>
  <si>
    <t>403</t>
  </si>
  <si>
    <t>Кучеровский сельсовет</t>
  </si>
  <si>
    <t>04639416</t>
  </si>
  <si>
    <t>404</t>
  </si>
  <si>
    <t>405</t>
  </si>
  <si>
    <t>Новоалександровский сельсовет</t>
  </si>
  <si>
    <t>04639422</t>
  </si>
  <si>
    <t>406</t>
  </si>
  <si>
    <t>Павловский сельсовет</t>
  </si>
  <si>
    <t>04639428</t>
  </si>
  <si>
    <t>407</t>
  </si>
  <si>
    <t>Поканаевский сельсовет</t>
  </si>
  <si>
    <t>04639445</t>
  </si>
  <si>
    <t>408</t>
  </si>
  <si>
    <t>Поселок Нижняя Пойма</t>
  </si>
  <si>
    <t>04639154</t>
  </si>
  <si>
    <t>409</t>
  </si>
  <si>
    <t>Поселок Поканаевка</t>
  </si>
  <si>
    <t>04639157</t>
  </si>
  <si>
    <t>410</t>
  </si>
  <si>
    <t>Поселок Тинской</t>
  </si>
  <si>
    <t>04639160</t>
  </si>
  <si>
    <t>411</t>
  </si>
  <si>
    <t>04639431</t>
  </si>
  <si>
    <t>412</t>
  </si>
  <si>
    <t>Стретенское</t>
  </si>
  <si>
    <t>04639434</t>
  </si>
  <si>
    <t>413</t>
  </si>
  <si>
    <t>Тиличетское</t>
  </si>
  <si>
    <t>04639437</t>
  </si>
  <si>
    <t>414</t>
  </si>
  <si>
    <t>Тинское</t>
  </si>
  <si>
    <t>04639440</t>
  </si>
  <si>
    <t>415</t>
  </si>
  <si>
    <t>Тинской сельсовет</t>
  </si>
  <si>
    <t>04639450</t>
  </si>
  <si>
    <t>416</t>
  </si>
  <si>
    <t>поселок Нижний Ингаш</t>
  </si>
  <si>
    <t>04639151</t>
  </si>
  <si>
    <t>417</t>
  </si>
  <si>
    <t>Новоселовский муниципальный район</t>
  </si>
  <si>
    <t>04641000</t>
  </si>
  <si>
    <t>Анашенское</t>
  </si>
  <si>
    <t>04641402</t>
  </si>
  <si>
    <t>418</t>
  </si>
  <si>
    <t>Бараитское</t>
  </si>
  <si>
    <t>04641403</t>
  </si>
  <si>
    <t>419</t>
  </si>
  <si>
    <t>Комское</t>
  </si>
  <si>
    <t>04641407</t>
  </si>
  <si>
    <t>420</t>
  </si>
  <si>
    <t>Легостаевское</t>
  </si>
  <si>
    <t>04641408</t>
  </si>
  <si>
    <t>421</t>
  </si>
  <si>
    <t>422</t>
  </si>
  <si>
    <t>Новоселовское</t>
  </si>
  <si>
    <t>04641409</t>
  </si>
  <si>
    <t>423</t>
  </si>
  <si>
    <t>Светлолобовское</t>
  </si>
  <si>
    <t>04641410</t>
  </si>
  <si>
    <t>424</t>
  </si>
  <si>
    <t>Толстомысинское</t>
  </si>
  <si>
    <t>04641413</t>
  </si>
  <si>
    <t>425</t>
  </si>
  <si>
    <t>Чулымское</t>
  </si>
  <si>
    <t>04641417</t>
  </si>
  <si>
    <t>426</t>
  </si>
  <si>
    <t>Партизанский муниципальный район</t>
  </si>
  <si>
    <t>04643000</t>
  </si>
  <si>
    <t>Богуславское</t>
  </si>
  <si>
    <t>04643402</t>
  </si>
  <si>
    <t>427</t>
  </si>
  <si>
    <t>Вершино-Рыбинское</t>
  </si>
  <si>
    <t>04643404</t>
  </si>
  <si>
    <t>428</t>
  </si>
  <si>
    <t>04643407</t>
  </si>
  <si>
    <t>429</t>
  </si>
  <si>
    <t>Имбежское</t>
  </si>
  <si>
    <t>04643410</t>
  </si>
  <si>
    <t>430</t>
  </si>
  <si>
    <t>Иннокентьевское</t>
  </si>
  <si>
    <t>04643413</t>
  </si>
  <si>
    <t>431</t>
  </si>
  <si>
    <t>Кожелакский сельсовет</t>
  </si>
  <si>
    <t>04643416</t>
  </si>
  <si>
    <t>432</t>
  </si>
  <si>
    <t>Минское</t>
  </si>
  <si>
    <t>04643419</t>
  </si>
  <si>
    <t>433</t>
  </si>
  <si>
    <t>434</t>
  </si>
  <si>
    <t>04643422</t>
  </si>
  <si>
    <t>435</t>
  </si>
  <si>
    <t>Стойбинское</t>
  </si>
  <si>
    <t>04643425</t>
  </si>
  <si>
    <t>436</t>
  </si>
  <si>
    <t>Пировский муниципальный округ</t>
  </si>
  <si>
    <t>04545000</t>
  </si>
  <si>
    <t>муниципальный округ</t>
  </si>
  <si>
    <t>437</t>
  </si>
  <si>
    <t>Пировский муниципальный район</t>
  </si>
  <si>
    <t>04645000</t>
  </si>
  <si>
    <t>Алтатский сельсовет</t>
  </si>
  <si>
    <t>04645401</t>
  </si>
  <si>
    <t>438</t>
  </si>
  <si>
    <t>Бушуйский сельсовет</t>
  </si>
  <si>
    <t>04645404</t>
  </si>
  <si>
    <t>439</t>
  </si>
  <si>
    <t>Икшурминский сельсовет</t>
  </si>
  <si>
    <t>04645416</t>
  </si>
  <si>
    <t>440</t>
  </si>
  <si>
    <t>Кетское</t>
  </si>
  <si>
    <t>04645417</t>
  </si>
  <si>
    <t>441</t>
  </si>
  <si>
    <t>Кириковский сельсовет</t>
  </si>
  <si>
    <t>04645413</t>
  </si>
  <si>
    <t>442</t>
  </si>
  <si>
    <t>Комаровский сельсовет</t>
  </si>
  <si>
    <t>04645419</t>
  </si>
  <si>
    <t>443</t>
  </si>
  <si>
    <t>444</t>
  </si>
  <si>
    <t>Пировское</t>
  </si>
  <si>
    <t>04645425</t>
  </si>
  <si>
    <t>445</t>
  </si>
  <si>
    <t>Солоухинский сельсовет</t>
  </si>
  <si>
    <t>04645410</t>
  </si>
  <si>
    <t>446</t>
  </si>
  <si>
    <t>Троицкое</t>
  </si>
  <si>
    <t>04645402</t>
  </si>
  <si>
    <t>447</t>
  </si>
  <si>
    <t>Чайдинское</t>
  </si>
  <si>
    <t>04645442</t>
  </si>
  <si>
    <t>448</t>
  </si>
  <si>
    <t>Поселок Кедровый</t>
  </si>
  <si>
    <t>04775000</t>
  </si>
  <si>
    <t>449</t>
  </si>
  <si>
    <t>Рыбинский муниципальный район</t>
  </si>
  <si>
    <t>04647000</t>
  </si>
  <si>
    <t>04647402</t>
  </si>
  <si>
    <t>450</t>
  </si>
  <si>
    <t>Большеключинское</t>
  </si>
  <si>
    <t>04647404</t>
  </si>
  <si>
    <t>451</t>
  </si>
  <si>
    <t>Бородинское</t>
  </si>
  <si>
    <t>04647406</t>
  </si>
  <si>
    <t>452</t>
  </si>
  <si>
    <t>Город Заозерный</t>
  </si>
  <si>
    <t>04647101</t>
  </si>
  <si>
    <t>453</t>
  </si>
  <si>
    <t>Двуреченское</t>
  </si>
  <si>
    <t>04647414</t>
  </si>
  <si>
    <t>454</t>
  </si>
  <si>
    <t>04647419</t>
  </si>
  <si>
    <t>455</t>
  </si>
  <si>
    <t>Малокамалинское</t>
  </si>
  <si>
    <t>04647422</t>
  </si>
  <si>
    <t>456</t>
  </si>
  <si>
    <t>Налобинское</t>
  </si>
  <si>
    <t>04647424</t>
  </si>
  <si>
    <t>457</t>
  </si>
  <si>
    <t>Новинское</t>
  </si>
  <si>
    <t>04647425</t>
  </si>
  <si>
    <t>458</t>
  </si>
  <si>
    <t>Новокамалинское</t>
  </si>
  <si>
    <t>04647430</t>
  </si>
  <si>
    <t>459</t>
  </si>
  <si>
    <t>Новосолянское</t>
  </si>
  <si>
    <t>04647434</t>
  </si>
  <si>
    <t>460</t>
  </si>
  <si>
    <t>Переясловское</t>
  </si>
  <si>
    <t>04647437</t>
  </si>
  <si>
    <t>461</t>
  </si>
  <si>
    <t>Поселок Саянский</t>
  </si>
  <si>
    <t>04647160</t>
  </si>
  <si>
    <t>462</t>
  </si>
  <si>
    <t>Поселок Урал</t>
  </si>
  <si>
    <t>04647165</t>
  </si>
  <si>
    <t>463</t>
  </si>
  <si>
    <t>464</t>
  </si>
  <si>
    <t>Рыбинское</t>
  </si>
  <si>
    <t>04647440</t>
  </si>
  <si>
    <t>465</t>
  </si>
  <si>
    <t>Уральский сельсовет</t>
  </si>
  <si>
    <t>04647454</t>
  </si>
  <si>
    <t>466</t>
  </si>
  <si>
    <t>04647449</t>
  </si>
  <si>
    <t>467</t>
  </si>
  <si>
    <t>поселок Ирша</t>
  </si>
  <si>
    <t>04647155</t>
  </si>
  <si>
    <t>468</t>
  </si>
  <si>
    <t>Саянский муниципальный район</t>
  </si>
  <si>
    <t>04648000</t>
  </si>
  <si>
    <t>Агинское</t>
  </si>
  <si>
    <t>04648402</t>
  </si>
  <si>
    <t>469</t>
  </si>
  <si>
    <t>Большеарбайский сельсовет</t>
  </si>
  <si>
    <t>04648404</t>
  </si>
  <si>
    <t>470</t>
  </si>
  <si>
    <t>Большеильбинский сельсовет</t>
  </si>
  <si>
    <t>04648407</t>
  </si>
  <si>
    <t>471</t>
  </si>
  <si>
    <t>04648410</t>
  </si>
  <si>
    <t>472</t>
  </si>
  <si>
    <t>Гладковский сельсовет</t>
  </si>
  <si>
    <t>04648413</t>
  </si>
  <si>
    <t>473</t>
  </si>
  <si>
    <t>Кулижниковское</t>
  </si>
  <si>
    <t>04648419</t>
  </si>
  <si>
    <t>474</t>
  </si>
  <si>
    <t>Малиновский сельсовет</t>
  </si>
  <si>
    <t>04648422</t>
  </si>
  <si>
    <t>475</t>
  </si>
  <si>
    <t>Межовский сельсовет</t>
  </si>
  <si>
    <t>04648425</t>
  </si>
  <si>
    <t>476</t>
  </si>
  <si>
    <t>Нагорновский сельсовет</t>
  </si>
  <si>
    <t>04648428</t>
  </si>
  <si>
    <t>477</t>
  </si>
  <si>
    <t>Орьевский сельсовет</t>
  </si>
  <si>
    <t>04648416</t>
  </si>
  <si>
    <t>478</t>
  </si>
  <si>
    <t>479</t>
  </si>
  <si>
    <t>Среднеагинский сельсовет</t>
  </si>
  <si>
    <t>04648432</t>
  </si>
  <si>
    <t>480</t>
  </si>
  <si>
    <t>Тинский сельсовет</t>
  </si>
  <si>
    <t>04648434</t>
  </si>
  <si>
    <t>481</t>
  </si>
  <si>
    <t>Тугачинское</t>
  </si>
  <si>
    <t>04648437</t>
  </si>
  <si>
    <t>482</t>
  </si>
  <si>
    <t>Унерское</t>
  </si>
  <si>
    <t>04648440</t>
  </si>
  <si>
    <t>483</t>
  </si>
  <si>
    <t>Северо-Енисейский муниципальный район</t>
  </si>
  <si>
    <t>04649000</t>
  </si>
  <si>
    <t>484</t>
  </si>
  <si>
    <t>Сухобузимский муниципальный район</t>
  </si>
  <si>
    <t>04651000</t>
  </si>
  <si>
    <t>Атамановское</t>
  </si>
  <si>
    <t>04651402</t>
  </si>
  <si>
    <t>485</t>
  </si>
  <si>
    <t>Борское</t>
  </si>
  <si>
    <t>04651425</t>
  </si>
  <si>
    <t>486</t>
  </si>
  <si>
    <t>Высотинское</t>
  </si>
  <si>
    <t>04651407</t>
  </si>
  <si>
    <t>487</t>
  </si>
  <si>
    <t>Кононовское</t>
  </si>
  <si>
    <t>04651410</t>
  </si>
  <si>
    <t>488</t>
  </si>
  <si>
    <t>Миндерлинское</t>
  </si>
  <si>
    <t>04651413</t>
  </si>
  <si>
    <t>489</t>
  </si>
  <si>
    <t>Нахвальское</t>
  </si>
  <si>
    <t>04651416</t>
  </si>
  <si>
    <t>490</t>
  </si>
  <si>
    <t>Подсопочное</t>
  </si>
  <si>
    <t>04651419</t>
  </si>
  <si>
    <t>491</t>
  </si>
  <si>
    <t>492</t>
  </si>
  <si>
    <t>Сухобузимское</t>
  </si>
  <si>
    <t>04651422</t>
  </si>
  <si>
    <t>493</t>
  </si>
  <si>
    <t>Шилинское</t>
  </si>
  <si>
    <t>04651428</t>
  </si>
  <si>
    <t>494</t>
  </si>
  <si>
    <t>Таймырский Долгано-Ненецкий муниципальный район</t>
  </si>
  <si>
    <t>04653000</t>
  </si>
  <si>
    <t>Диксон</t>
  </si>
  <si>
    <t>04653155</t>
  </si>
  <si>
    <t>495</t>
  </si>
  <si>
    <t>Дудинка</t>
  </si>
  <si>
    <t>04653101</t>
  </si>
  <si>
    <t>496</t>
  </si>
  <si>
    <t>Караул</t>
  </si>
  <si>
    <t>04653417</t>
  </si>
  <si>
    <t>497</t>
  </si>
  <si>
    <t>498</t>
  </si>
  <si>
    <t>Хатанга</t>
  </si>
  <si>
    <t>04653419</t>
  </si>
  <si>
    <t>499</t>
  </si>
  <si>
    <t>Тасеевский муниципальный район</t>
  </si>
  <si>
    <t>04652000</t>
  </si>
  <si>
    <t>Вахрушевский сельсовет</t>
  </si>
  <si>
    <t>04652402</t>
  </si>
  <si>
    <t>500</t>
  </si>
  <si>
    <t>Веселовский сельсовет</t>
  </si>
  <si>
    <t>04652428</t>
  </si>
  <si>
    <t>501</t>
  </si>
  <si>
    <t>Сивохинский сельсовет</t>
  </si>
  <si>
    <t>04652407</t>
  </si>
  <si>
    <t>502</t>
  </si>
  <si>
    <t>Суховский сельсовет</t>
  </si>
  <si>
    <t>04652413</t>
  </si>
  <si>
    <t>503</t>
  </si>
  <si>
    <t>504</t>
  </si>
  <si>
    <t>Тасеевское</t>
  </si>
  <si>
    <t>04652416</t>
  </si>
  <si>
    <t>505</t>
  </si>
  <si>
    <t>Троицкий сельсовет</t>
  </si>
  <si>
    <t>04652419</t>
  </si>
  <si>
    <t>506</t>
  </si>
  <si>
    <t>Фаначетское</t>
  </si>
  <si>
    <t>04652422</t>
  </si>
  <si>
    <t>507</t>
  </si>
  <si>
    <t>04652425</t>
  </si>
  <si>
    <t>508</t>
  </si>
  <si>
    <t>Туруханский муниципальный район</t>
  </si>
  <si>
    <t>04654000</t>
  </si>
  <si>
    <t>04654404</t>
  </si>
  <si>
    <t>509</t>
  </si>
  <si>
    <t>Верхнеимбатское</t>
  </si>
  <si>
    <t>04654410</t>
  </si>
  <si>
    <t>510</t>
  </si>
  <si>
    <t>Вороговское</t>
  </si>
  <si>
    <t>04654413</t>
  </si>
  <si>
    <t>511</t>
  </si>
  <si>
    <t>Город Игарка</t>
  </si>
  <si>
    <t>04654117</t>
  </si>
  <si>
    <t>512</t>
  </si>
  <si>
    <t>Зотинское</t>
  </si>
  <si>
    <t>04654417</t>
  </si>
  <si>
    <t>513</t>
  </si>
  <si>
    <t>Межселенная территория Туруханского муниципального района, включающая п Ангутиха, с Бакланиха, п Бахта и др.</t>
  </si>
  <si>
    <t>04654701</t>
  </si>
  <si>
    <t>514</t>
  </si>
  <si>
    <t>Светлогорский сельсовет</t>
  </si>
  <si>
    <t>04654439</t>
  </si>
  <si>
    <t>515</t>
  </si>
  <si>
    <t>516</t>
  </si>
  <si>
    <t>Туруханское</t>
  </si>
  <si>
    <t>04654434</t>
  </si>
  <si>
    <t>517</t>
  </si>
  <si>
    <t>поселок Светлогорск</t>
  </si>
  <si>
    <t>04654156</t>
  </si>
  <si>
    <t>518</t>
  </si>
  <si>
    <t>Тюхтетский муниципальный округ</t>
  </si>
  <si>
    <t>04555000</t>
  </si>
  <si>
    <t>519</t>
  </si>
  <si>
    <t>Тюхтетский муниципальный район</t>
  </si>
  <si>
    <t>04655000</t>
  </si>
  <si>
    <t>Верх-Четский сельсовет</t>
  </si>
  <si>
    <t>04655404</t>
  </si>
  <si>
    <t>520</t>
  </si>
  <si>
    <t>Двинский сельсовет</t>
  </si>
  <si>
    <t>04655406</t>
  </si>
  <si>
    <t>521</t>
  </si>
  <si>
    <t>Зареченский сельсовет</t>
  </si>
  <si>
    <t>04655407</t>
  </si>
  <si>
    <t>522</t>
  </si>
  <si>
    <t>Красинский сельсовет</t>
  </si>
  <si>
    <t>04655410</t>
  </si>
  <si>
    <t>523</t>
  </si>
  <si>
    <t>Лазаревский сельсовет</t>
  </si>
  <si>
    <t>04655412</t>
  </si>
  <si>
    <t>524</t>
  </si>
  <si>
    <t>Леонтьевский сельсовет</t>
  </si>
  <si>
    <t>04655413</t>
  </si>
  <si>
    <t>525</t>
  </si>
  <si>
    <t>Новомитропольский сельсовет</t>
  </si>
  <si>
    <t>04655416</t>
  </si>
  <si>
    <t>526</t>
  </si>
  <si>
    <t>Поваренкинский сельсовет</t>
  </si>
  <si>
    <t>04655422</t>
  </si>
  <si>
    <t>527</t>
  </si>
  <si>
    <t>528</t>
  </si>
  <si>
    <t>Тюхтетское</t>
  </si>
  <si>
    <t>04655425</t>
  </si>
  <si>
    <t>529</t>
  </si>
  <si>
    <t>Чиндатский сельсовет</t>
  </si>
  <si>
    <t>04655428</t>
  </si>
  <si>
    <t>530</t>
  </si>
  <si>
    <t>Ужурский муниципальный район</t>
  </si>
  <si>
    <t>04656000</t>
  </si>
  <si>
    <t>Васильевский сельсовет</t>
  </si>
  <si>
    <t>04656404</t>
  </si>
  <si>
    <t>531</t>
  </si>
  <si>
    <t>Город Ужур</t>
  </si>
  <si>
    <t>04656101</t>
  </si>
  <si>
    <t>532</t>
  </si>
  <si>
    <t>Златоруновское</t>
  </si>
  <si>
    <t>04656431</t>
  </si>
  <si>
    <t>533</t>
  </si>
  <si>
    <t>Ильинский сельсовет</t>
  </si>
  <si>
    <t>04656407</t>
  </si>
  <si>
    <t>534</t>
  </si>
  <si>
    <t>Крутоярское</t>
  </si>
  <si>
    <t>04656410</t>
  </si>
  <si>
    <t>535</t>
  </si>
  <si>
    <t>Кулунское</t>
  </si>
  <si>
    <t>04656413</t>
  </si>
  <si>
    <t>536</t>
  </si>
  <si>
    <t>Локшинский сельсовет</t>
  </si>
  <si>
    <t>04656416</t>
  </si>
  <si>
    <t>537</t>
  </si>
  <si>
    <t>Малоимышский сельсовет</t>
  </si>
  <si>
    <t>04656419</t>
  </si>
  <si>
    <t>538</t>
  </si>
  <si>
    <t>04656422</t>
  </si>
  <si>
    <t>539</t>
  </si>
  <si>
    <t>Озероучумское</t>
  </si>
  <si>
    <t>04656423</t>
  </si>
  <si>
    <t>540</t>
  </si>
  <si>
    <t>Прилужское</t>
  </si>
  <si>
    <t>04656424</t>
  </si>
  <si>
    <t>541</t>
  </si>
  <si>
    <t>Приреченское</t>
  </si>
  <si>
    <t>04656429</t>
  </si>
  <si>
    <t>542</t>
  </si>
  <si>
    <t>Солгонское</t>
  </si>
  <si>
    <t>04656425</t>
  </si>
  <si>
    <t>543</t>
  </si>
  <si>
    <t>544</t>
  </si>
  <si>
    <t>Уярский муниципальный район</t>
  </si>
  <si>
    <t>04657000</t>
  </si>
  <si>
    <t>Авдинское</t>
  </si>
  <si>
    <t>04657402</t>
  </si>
  <si>
    <t>545</t>
  </si>
  <si>
    <t>Балайское</t>
  </si>
  <si>
    <t>04657404</t>
  </si>
  <si>
    <t>546</t>
  </si>
  <si>
    <t>Восточный сельсовет</t>
  </si>
  <si>
    <t>04657406</t>
  </si>
  <si>
    <t>547</t>
  </si>
  <si>
    <t>Город Уяр</t>
  </si>
  <si>
    <t>04657101</t>
  </si>
  <si>
    <t>548</t>
  </si>
  <si>
    <t>Громадское</t>
  </si>
  <si>
    <t>04657408</t>
  </si>
  <si>
    <t>549</t>
  </si>
  <si>
    <t>Новопятницкое</t>
  </si>
  <si>
    <t>04657414</t>
  </si>
  <si>
    <t>550</t>
  </si>
  <si>
    <t>Рощинский сельсовет</t>
  </si>
  <si>
    <t>04657416</t>
  </si>
  <si>
    <t>551</t>
  </si>
  <si>
    <t>Сухонойское</t>
  </si>
  <si>
    <t>04657418</t>
  </si>
  <si>
    <t>552</t>
  </si>
  <si>
    <t>Сушиновское</t>
  </si>
  <si>
    <t>04657417</t>
  </si>
  <si>
    <t>553</t>
  </si>
  <si>
    <t>Толстихинское</t>
  </si>
  <si>
    <t>04657420</t>
  </si>
  <si>
    <t>554</t>
  </si>
  <si>
    <t>555</t>
  </si>
  <si>
    <t>Шарыповский муниципальный район</t>
  </si>
  <si>
    <t>04658000</t>
  </si>
  <si>
    <t>04658403</t>
  </si>
  <si>
    <t>557</t>
  </si>
  <si>
    <t>04658408</t>
  </si>
  <si>
    <t>558</t>
  </si>
  <si>
    <t>Новоалтатское</t>
  </si>
  <si>
    <t>04658411</t>
  </si>
  <si>
    <t>559</t>
  </si>
  <si>
    <t>Парнинское</t>
  </si>
  <si>
    <t>04658413</t>
  </si>
  <si>
    <t>560</t>
  </si>
  <si>
    <t>Родниковское</t>
  </si>
  <si>
    <t>04658415</t>
  </si>
  <si>
    <t>561</t>
  </si>
  <si>
    <t>Холмогорское</t>
  </si>
  <si>
    <t>04658420</t>
  </si>
  <si>
    <t>562</t>
  </si>
  <si>
    <t>563</t>
  </si>
  <si>
    <t>Шушенское</t>
  </si>
  <si>
    <t>04658422</t>
  </si>
  <si>
    <t>564</t>
  </si>
  <si>
    <t>Шушенский муниципальный район</t>
  </si>
  <si>
    <t>04659000</t>
  </si>
  <si>
    <t>Иджинское</t>
  </si>
  <si>
    <t>04659403</t>
  </si>
  <si>
    <t>565</t>
  </si>
  <si>
    <t>Ильичевское</t>
  </si>
  <si>
    <t>04659405</t>
  </si>
  <si>
    <t>566</t>
  </si>
  <si>
    <t>Казанцевское</t>
  </si>
  <si>
    <t>04659407</t>
  </si>
  <si>
    <t>567</t>
  </si>
  <si>
    <t>Каптыревское</t>
  </si>
  <si>
    <t>04659410</t>
  </si>
  <si>
    <t>568</t>
  </si>
  <si>
    <t>Сизинское</t>
  </si>
  <si>
    <t>04659414</t>
  </si>
  <si>
    <t>569</t>
  </si>
  <si>
    <t>Синеборское</t>
  </si>
  <si>
    <t>04659415</t>
  </si>
  <si>
    <t>570</t>
  </si>
  <si>
    <t>Субботинское</t>
  </si>
  <si>
    <t>04659416</t>
  </si>
  <si>
    <t>571</t>
  </si>
  <si>
    <t>572</t>
  </si>
  <si>
    <t>поселок Шушенское</t>
  </si>
  <si>
    <t>04659151</t>
  </si>
  <si>
    <t>573</t>
  </si>
  <si>
    <t>Эвенкийский муниципальный район</t>
  </si>
  <si>
    <t>04650000</t>
  </si>
  <si>
    <t>574</t>
  </si>
  <si>
    <t>поселок Бурный</t>
  </si>
  <si>
    <t>04650408</t>
  </si>
  <si>
    <t>575</t>
  </si>
  <si>
    <t>поселок Ессей</t>
  </si>
  <si>
    <t>04650432</t>
  </si>
  <si>
    <t>576</t>
  </si>
  <si>
    <t>поселок Кислокан</t>
  </si>
  <si>
    <t>04650435</t>
  </si>
  <si>
    <t>577</t>
  </si>
  <si>
    <t>поселок Кузьмовка</t>
  </si>
  <si>
    <t>04650426</t>
  </si>
  <si>
    <t>578</t>
  </si>
  <si>
    <t>поселок Куюмба</t>
  </si>
  <si>
    <t>04650411</t>
  </si>
  <si>
    <t>579</t>
  </si>
  <si>
    <t>поселок Муторай</t>
  </si>
  <si>
    <t>04650462</t>
  </si>
  <si>
    <t>580</t>
  </si>
  <si>
    <t>поселок Нидым</t>
  </si>
  <si>
    <t>04650438</t>
  </si>
  <si>
    <t>581</t>
  </si>
  <si>
    <t>поселок Оскоба</t>
  </si>
  <si>
    <t>04650465</t>
  </si>
  <si>
    <t>582</t>
  </si>
  <si>
    <t>поселок Ошарово</t>
  </si>
  <si>
    <t>04650417</t>
  </si>
  <si>
    <t>583</t>
  </si>
  <si>
    <t>поселок Полигус</t>
  </si>
  <si>
    <t>04650420</t>
  </si>
  <si>
    <t>584</t>
  </si>
  <si>
    <t>поселок Стрелка-Чуня</t>
  </si>
  <si>
    <t>04650471</t>
  </si>
  <si>
    <t>585</t>
  </si>
  <si>
    <t>поселок Суломай</t>
  </si>
  <si>
    <t>04650423</t>
  </si>
  <si>
    <t>586</t>
  </si>
  <si>
    <t>поселок Суринда</t>
  </si>
  <si>
    <t>04650429</t>
  </si>
  <si>
    <t>587</t>
  </si>
  <si>
    <t>поселок Тура</t>
  </si>
  <si>
    <t>04650402</t>
  </si>
  <si>
    <t>588</t>
  </si>
  <si>
    <t>поселок Тутончаны</t>
  </si>
  <si>
    <t>04650444</t>
  </si>
  <si>
    <t>589</t>
  </si>
  <si>
    <t>поселок Учами</t>
  </si>
  <si>
    <t>04650447</t>
  </si>
  <si>
    <t>590</t>
  </si>
  <si>
    <t>поселок Чемдальск</t>
  </si>
  <si>
    <t>04650468</t>
  </si>
  <si>
    <t>591</t>
  </si>
  <si>
    <t>поселок Чиринда</t>
  </si>
  <si>
    <t>04650450</t>
  </si>
  <si>
    <t>592</t>
  </si>
  <si>
    <t>поселок Эконда</t>
  </si>
  <si>
    <t>04650453</t>
  </si>
  <si>
    <t>593</t>
  </si>
  <si>
    <t>поселок Юкта</t>
  </si>
  <si>
    <t>04650456</t>
  </si>
  <si>
    <t>594</t>
  </si>
  <si>
    <t>село Байкит</t>
  </si>
  <si>
    <t>04650405</t>
  </si>
  <si>
    <t>595</t>
  </si>
  <si>
    <t>село Ванавара</t>
  </si>
  <si>
    <t>04650459</t>
  </si>
  <si>
    <t>596</t>
  </si>
  <si>
    <t>село Мирюга</t>
  </si>
  <si>
    <t>04650414</t>
  </si>
  <si>
    <t>597</t>
  </si>
  <si>
    <t>NUMBER_POINT</t>
  </si>
  <si>
    <t>L_NAME</t>
  </si>
  <si>
    <t>L_START_DATE</t>
  </si>
  <si>
    <t>L_END_DATE</t>
  </si>
  <si>
    <t>TER_NAME</t>
  </si>
  <si>
    <t>Территория 1</t>
  </si>
  <si>
    <t>ID_TARIFF_NAME</t>
  </si>
  <si>
    <t>TARIFF_NAME</t>
  </si>
  <si>
    <t>VED_NAME</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</si>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</sst>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8" formatCode="000000"/>
    <numFmt numFmtId="169" formatCode="#,##0.000"/>
    <numFmt numFmtId="170" formatCode="#,##0.0000"/>
    <numFmt numFmtId="171" formatCode="dd\.mm\.yyyy"/>
  </numFmts>
  <fonts count="105">
    <font>
      <sz val="9"/>
      <color rgb="FF000000"/>
      <name val="Tahoma"/>
    </font>
    <font>
      <sz val="11"/>
      <color theme="1"/>
      <name val="Calibri"/>
      <scheme val="minor"/>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
      <b/>
      <sz val="9"/>
      <name val="Tahoma"/>
      <family val="2"/>
      <charset val="204"/>
    </font>
    <font>
      <sz val="9"/>
      <name val="Tahoma"/>
      <family val="2"/>
      <charset val="204"/>
    </font>
    <font>
      <vertAlign val="superscript"/>
      <sz val="9"/>
      <name val="Tahoma"/>
      <family val="2"/>
      <charset val="204"/>
    </font>
    <font>
      <vertAlign val="superscript"/>
      <sz val="10"/>
      <name val="Tahoma"/>
      <family val="2"/>
      <charset val="204"/>
    </font>
    <font>
      <sz val="9"/>
      <color indexed="81"/>
      <name val="Tahoma"/>
      <family val="2"/>
    </font>
    <font>
      <sz val="9"/>
      <color indexed="81"/>
      <name val="Arial"/>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68">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538">
    <xf numFmtId="49" fontId="0" fillId="0" borderId="0" xfId="0" applyNumberFormat="1" applyFont="1">
      <alignment vertical="top"/>
    </xf>
    <xf numFmtId="49" fontId="0" fillId="0" borderId="0" xfId="0" applyNumberFormat="1" applyFont="1">
      <alignment vertical="top"/>
    </xf>
    <xf numFmtId="0" fontId="2" fillId="0" borderId="0" xfId="0" applyNumberFormat="1" applyFont="1" applyAlignment="1">
      <alignment vertical="top" wrapText="1"/>
    </xf>
    <xf numFmtId="49" fontId="0" fillId="0" borderId="0" xfId="0" applyNumberFormat="1" applyFont="1">
      <alignment vertical="top"/>
    </xf>
    <xf numFmtId="49" fontId="2" fillId="5" borderId="1" xfId="0" applyNumberFormat="1" applyFont="1" applyFill="1" applyBorder="1" applyAlignment="1">
      <alignment horizontal="center" vertical="top"/>
    </xf>
    <xf numFmtId="49" fontId="0" fillId="0" borderId="0" xfId="0" applyNumberFormat="1" applyFont="1">
      <alignment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49" fontId="12" fillId="8"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49" fontId="2" fillId="0" borderId="3" xfId="0" applyNumberFormat="1" applyFont="1" applyBorder="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8"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49" fontId="0" fillId="0" borderId="0" xfId="0" applyNumberFormat="1" applyFont="1">
      <alignment vertical="top"/>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0" fillId="0" borderId="0" xfId="0" applyNumberFormat="1" applyFont="1">
      <alignment vertical="top"/>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9"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49" fontId="0" fillId="0" borderId="0" xfId="0" applyNumberFormat="1" applyFont="1">
      <alignment vertical="top"/>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9"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2"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70" fontId="2" fillId="7" borderId="3" xfId="0" applyNumberFormat="1" applyFont="1" applyFill="1" applyBorder="1" applyAlignment="1" applyProtection="1">
      <alignment horizontal="right" vertical="center" wrapText="1"/>
      <protection locked="0"/>
    </xf>
    <xf numFmtId="0" fontId="2" fillId="0" borderId="19"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19"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70"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8"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70"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49" fontId="0" fillId="0" borderId="0" xfId="0" applyNumberFormat="1" applyFont="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8"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64" fillId="0" borderId="0" xfId="0" applyNumberFormat="1" applyFont="1" applyAlignment="1">
      <alignment horizontal="left" vertical="center" wrapText="1"/>
    </xf>
    <xf numFmtId="14" fontId="64" fillId="6" borderId="0" xfId="0" applyNumberFormat="1" applyFont="1" applyFill="1" applyAlignment="1">
      <alignment horizontal="left" vertical="center" wrapText="1"/>
    </xf>
    <xf numFmtId="14" fontId="65"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14" fontId="66"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4" fillId="12" borderId="3" xfId="0" applyNumberFormat="1" applyFont="1" applyFill="1" applyBorder="1" applyAlignment="1">
      <alignment horizontal="center"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2"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4" fillId="12" borderId="3" xfId="0" applyNumberFormat="1" applyFont="1" applyFill="1" applyBorder="1" applyAlignment="1">
      <alignment horizontal="center"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49" fontId="2" fillId="10" borderId="3" xfId="0" quotePrefix="1"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0"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69"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0" fillId="6"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7" xfId="0" applyNumberFormat="1" applyFont="1" applyBorder="1" applyAlignment="1">
      <alignment horizontal="left" vertical="top" wrapText="1"/>
    </xf>
    <xf numFmtId="49" fontId="68" fillId="0" borderId="21"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0"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2"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2"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2"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7"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170"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70" fontId="2" fillId="10" borderId="4" xfId="0" applyNumberFormat="1" applyFont="1" applyFill="1" applyBorder="1" applyAlignment="1" applyProtection="1">
      <alignment horizontal="right" vertical="center" wrapText="1"/>
      <protection locked="0"/>
    </xf>
    <xf numFmtId="170" fontId="2" fillId="5" borderId="4" xfId="0" applyNumberFormat="1" applyFont="1" applyFill="1" applyBorder="1" applyAlignment="1">
      <alignment horizontal="right" vertical="center" wrapText="1"/>
    </xf>
    <xf numFmtId="4" fontId="2" fillId="10" borderId="20" xfId="0" applyNumberFormat="1" applyFont="1" applyFill="1" applyBorder="1" applyAlignment="1" applyProtection="1">
      <alignment horizontal="right" vertical="center" wrapText="1"/>
      <protection locked="0"/>
    </xf>
    <xf numFmtId="49" fontId="64" fillId="12" borderId="3" xfId="0" applyNumberFormat="1" applyFont="1" applyFill="1" applyBorder="1" applyAlignment="1">
      <alignment horizontal="center"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8" fillId="0" borderId="3" xfId="0" applyNumberFormat="1" applyFont="1" applyBorder="1">
      <alignment vertical="top"/>
    </xf>
    <xf numFmtId="49" fontId="64" fillId="0" borderId="0" xfId="0" applyNumberFormat="1" applyFont="1" applyAlignment="1">
      <alignment horizontal="center" vertical="center" wrapText="1"/>
    </xf>
    <xf numFmtId="49" fontId="64" fillId="0" borderId="0" xfId="0" applyNumberFormat="1" applyFont="1" applyAlignment="1">
      <alignment horizontal="left" vertical="center" wrapText="1"/>
    </xf>
    <xf numFmtId="49" fontId="64" fillId="17" borderId="0" xfId="0" applyNumberFormat="1" applyFont="1" applyFill="1" applyAlignment="1">
      <alignment horizontal="center" vertical="center" wrapText="1"/>
    </xf>
    <xf numFmtId="0" fontId="64"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8" fillId="12" borderId="3" xfId="0" applyNumberFormat="1" applyFont="1" applyFill="1" applyBorder="1" applyAlignment="1">
      <alignment horizontal="center" vertical="top" wrapText="1"/>
    </xf>
    <xf numFmtId="49" fontId="68" fillId="12" borderId="3" xfId="0" applyNumberFormat="1" applyFont="1" applyFill="1" applyBorder="1" applyAlignment="1">
      <alignment horizontal="left" vertical="top" wrapText="1"/>
    </xf>
    <xf numFmtId="0" fontId="64"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4"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8"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0" fontId="17" fillId="0" borderId="0" xfId="0" applyNumberFormat="1" applyFont="1" applyAlignment="1">
      <alignment vertical="center" wrapText="1"/>
    </xf>
    <xf numFmtId="49" fontId="67"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76"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1"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8" fillId="8" borderId="5" xfId="0" applyNumberFormat="1" applyFont="1" applyFill="1" applyBorder="1" applyAlignment="1">
      <alignment horizontal="left" vertical="center" indent="1"/>
    </xf>
    <xf numFmtId="49" fontId="78" fillId="8" borderId="6" xfId="0" applyNumberFormat="1" applyFont="1" applyFill="1" applyBorder="1" applyAlignment="1">
      <alignment horizontal="left" vertical="center" indent="1"/>
    </xf>
    <xf numFmtId="49" fontId="67" fillId="8" borderId="34" xfId="0" applyNumberFormat="1" applyFont="1" applyFill="1" applyBorder="1" applyAlignment="1">
      <alignment horizontal="center" vertical="center"/>
    </xf>
    <xf numFmtId="49" fontId="78"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8"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8"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9"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0"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0"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9"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1"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2"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2" fillId="8" borderId="6" xfId="0" applyNumberFormat="1" applyFont="1" applyFill="1" applyBorder="1" applyAlignment="1">
      <alignment horizontal="left" vertical="center" indent="2"/>
    </xf>
    <xf numFmtId="49" fontId="82" fillId="8" borderId="6" xfId="0" applyNumberFormat="1" applyFont="1" applyFill="1" applyBorder="1" applyAlignment="1">
      <alignment horizontal="left" vertical="center" indent="1"/>
    </xf>
    <xf numFmtId="49" fontId="82"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4"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2" fillId="0" borderId="20"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0"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0"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9"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9"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9" fontId="20" fillId="0" borderId="3" xfId="0" applyNumberFormat="1" applyFont="1" applyBorder="1" applyAlignment="1">
      <alignment horizontal="right" vertical="center" wrapText="1"/>
    </xf>
    <xf numFmtId="169"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8"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0"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9" fontId="2" fillId="8"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8"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8"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8" fontId="2" fillId="0" borderId="8" xfId="0" applyNumberFormat="1" applyFont="1" applyBorder="1" applyAlignment="1">
      <alignment horizontal="center" vertical="center" wrapText="1"/>
    </xf>
    <xf numFmtId="49" fontId="22"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8"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21" xfId="0" applyNumberFormat="1" applyFont="1" applyFill="1" applyBorder="1" applyAlignment="1" applyProtection="1">
      <alignment horizontal="left" vertical="center" wrapText="1"/>
      <protection locked="0"/>
    </xf>
    <xf numFmtId="49" fontId="26" fillId="8" borderId="18"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8"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14" fontId="2" fillId="11" borderId="3" xfId="0" applyNumberFormat="1" applyFont="1" applyFill="1" applyBorder="1" applyAlignment="1">
      <alignment horizontal="left" vertical="center" wrapText="1"/>
    </xf>
    <xf numFmtId="168"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8" fontId="17" fillId="0" borderId="49" xfId="0" applyNumberFormat="1" applyFont="1" applyBorder="1" applyAlignment="1">
      <alignment horizontal="center" vertical="center" wrapText="1"/>
    </xf>
    <xf numFmtId="168" fontId="17" fillId="0" borderId="49" xfId="0" applyNumberFormat="1" applyFont="1" applyBorder="1" applyAlignment="1">
      <alignment horizontal="center" vertical="center" wrapText="1"/>
    </xf>
    <xf numFmtId="49" fontId="26" fillId="10" borderId="18"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0" fillId="0" borderId="0" xfId="0" applyNumberFormat="1" applyFont="1">
      <alignment vertical="top"/>
    </xf>
    <xf numFmtId="49" fontId="19"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21"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8"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88" fillId="0" borderId="0" xfId="0" applyNumberFormat="1" applyFont="1" applyAlignment="1">
      <alignment wrapText="1"/>
    </xf>
    <xf numFmtId="49" fontId="39" fillId="0" borderId="0" xfId="0" applyNumberFormat="1" applyFont="1" applyAlignment="1">
      <alignment wrapText="1"/>
    </xf>
    <xf numFmtId="49" fontId="39" fillId="0" borderId="0" xfId="0" applyNumberFormat="1" applyFont="1" applyAlignment="1">
      <alignment vertical="center" wrapText="1"/>
    </xf>
    <xf numFmtId="49" fontId="89" fillId="0" borderId="0" xfId="0" applyNumberFormat="1" applyFont="1" applyAlignment="1">
      <alignment wrapText="1"/>
    </xf>
    <xf numFmtId="0" fontId="75" fillId="0" borderId="0" xfId="0" applyNumberFormat="1" applyFont="1" applyAlignment="1">
      <alignment horizontal="left" vertical="center" wrapText="1"/>
    </xf>
    <xf numFmtId="49" fontId="90" fillId="0" borderId="0" xfId="0" applyNumberFormat="1" applyFont="1" applyAlignment="1">
      <alignment wrapText="1"/>
    </xf>
    <xf numFmtId="0" fontId="18" fillId="0" borderId="0" xfId="0" applyNumberFormat="1" applyFont="1" applyAlignment="1">
      <alignment horizontal="left" vertical="top" wrapText="1"/>
    </xf>
    <xf numFmtId="49" fontId="2" fillId="0" borderId="0" xfId="0" applyNumberFormat="1" applyFont="1" applyAlignment="1">
      <alignment vertical="top" wrapText="1"/>
    </xf>
    <xf numFmtId="0" fontId="39" fillId="0" borderId="0" xfId="0" applyNumberFormat="1" applyFont="1" applyAlignment="1">
      <alignment wrapText="1"/>
    </xf>
    <xf numFmtId="0" fontId="91" fillId="0" borderId="0" xfId="0" applyNumberFormat="1" applyFont="1" applyAlignment="1">
      <alignment horizontal="left" vertical="center" wrapText="1"/>
    </xf>
    <xf numFmtId="0" fontId="92" fillId="0" borderId="0" xfId="0" applyNumberFormat="1" applyFont="1" applyAlignment="1">
      <alignment vertical="center" wrapText="1"/>
    </xf>
    <xf numFmtId="0" fontId="39" fillId="0" borderId="29" xfId="0" applyNumberFormat="1" applyFont="1" applyBorder="1" applyAlignment="1">
      <alignment wrapText="1"/>
    </xf>
    <xf numFmtId="0" fontId="39" fillId="0" borderId="0" xfId="0" applyNumberFormat="1" applyFont="1" applyAlignment="1"/>
    <xf numFmtId="0" fontId="91" fillId="0" borderId="0" xfId="0" applyNumberFormat="1" applyFont="1" applyAlignment="1"/>
    <xf numFmtId="0" fontId="93" fillId="0" borderId="0" xfId="0" applyNumberFormat="1" applyFont="1" applyAlignment="1">
      <alignment wrapText="1"/>
    </xf>
    <xf numFmtId="0" fontId="0" fillId="7" borderId="53" xfId="0" applyNumberFormat="1" applyFont="1" applyFill="1" applyBorder="1" applyAlignment="1">
      <alignment horizontal="center" vertical="center" wrapText="1"/>
    </xf>
    <xf numFmtId="0" fontId="0" fillId="24" borderId="53" xfId="0" applyNumberFormat="1" applyFont="1" applyFill="1" applyBorder="1" applyAlignment="1">
      <alignment horizontal="center" vertical="center" wrapText="1"/>
    </xf>
    <xf numFmtId="0" fontId="0" fillId="5" borderId="53" xfId="0" applyNumberFormat="1" applyFont="1" applyFill="1" applyBorder="1" applyAlignment="1">
      <alignment horizontal="center" vertical="center" wrapText="1"/>
    </xf>
    <xf numFmtId="0" fontId="0" fillId="10" borderId="53" xfId="0" applyNumberFormat="1" applyFont="1" applyFill="1" applyBorder="1" applyAlignment="1">
      <alignment horizontal="center" vertical="center" wrapText="1"/>
    </xf>
    <xf numFmtId="0" fontId="91" fillId="0" borderId="29" xfId="0" applyNumberFormat="1" applyFont="1" applyBorder="1" applyAlignment="1">
      <alignment horizontal="left" vertical="center" wrapText="1"/>
    </xf>
    <xf numFmtId="0" fontId="91" fillId="0" borderId="54" xfId="0" applyNumberFormat="1" applyFont="1" applyBorder="1" applyAlignment="1">
      <alignment horizontal="left" vertical="center" wrapText="1"/>
    </xf>
    <xf numFmtId="0" fontId="93" fillId="0" borderId="0" xfId="0" applyNumberFormat="1" applyFont="1" applyAlignment="1"/>
    <xf numFmtId="0" fontId="93" fillId="0" borderId="29" xfId="0" applyNumberFormat="1" applyFont="1" applyBorder="1" applyAlignment="1">
      <alignment wrapText="1"/>
    </xf>
    <xf numFmtId="0" fontId="39" fillId="0" borderId="55" xfId="0" applyNumberFormat="1" applyFont="1" applyBorder="1" applyAlignment="1">
      <alignment wrapText="1"/>
    </xf>
    <xf numFmtId="0" fontId="39" fillId="0" borderId="30" xfId="0" applyNumberFormat="1" applyFont="1" applyBorder="1" applyAlignment="1">
      <alignment wrapText="1"/>
    </xf>
    <xf numFmtId="0" fontId="39" fillId="0" borderId="30" xfId="0" applyNumberFormat="1" applyFont="1" applyBorder="1" applyAlignment="1">
      <alignment vertical="center" wrapText="1"/>
    </xf>
    <xf numFmtId="0" fontId="89"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94"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71" fontId="0" fillId="10" borderId="3" xfId="0" applyNumberFormat="1" applyFont="1" applyFill="1" applyBorder="1" applyAlignment="1" applyProtection="1">
      <alignment horizontal="left" vertical="center" wrapText="1" indent="1"/>
      <protection locked="0"/>
    </xf>
    <xf numFmtId="171" fontId="0" fillId="0" borderId="3" xfId="0" applyNumberFormat="1" applyFont="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171" fontId="20" fillId="0" borderId="0" xfId="0" applyNumberFormat="1" applyFont="1" applyAlignment="1">
      <alignment horizontal="center" vertical="center" wrapText="1"/>
    </xf>
    <xf numFmtId="171" fontId="20" fillId="0" borderId="3" xfId="0" applyNumberFormat="1" applyFont="1" applyBorder="1" applyAlignment="1">
      <alignment horizontal="center" vertical="center" wrapText="1"/>
    </xf>
    <xf numFmtId="171" fontId="0" fillId="7" borderId="3" xfId="0" applyNumberFormat="1" applyFont="1" applyFill="1" applyBorder="1" applyAlignment="1" applyProtection="1">
      <alignment horizontal="left" vertical="center" wrapText="1" indent="1"/>
      <protection locked="0"/>
    </xf>
    <xf numFmtId="171"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21"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171" fontId="0" fillId="10" borderId="5" xfId="0" applyNumberFormat="1" applyFont="1" applyFill="1" applyBorder="1" applyAlignment="1" applyProtection="1">
      <alignment horizontal="left" vertical="center" wrapText="1"/>
      <protection locked="0"/>
    </xf>
    <xf numFmtId="171"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95" fillId="10" borderId="3" xfId="0" applyNumberFormat="1" applyFont="1" applyFill="1" applyBorder="1" applyAlignment="1" applyProtection="1">
      <alignment horizontal="left" vertical="center" wrapText="1"/>
      <protection locked="0"/>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6"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6"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0" borderId="0" xfId="0" applyNumberFormat="1" applyFont="1">
      <alignment vertical="top"/>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2" fillId="6" borderId="14" xfId="0" applyNumberFormat="1" applyFont="1" applyFill="1" applyBorder="1" applyAlignment="1">
      <alignment horizontal="center" vertical="center" wrapText="1"/>
    </xf>
    <xf numFmtId="0" fontId="2"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2"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7" fillId="25" borderId="0" xfId="0" applyNumberFormat="1" applyFont="1" applyFill="1" applyAlignment="1">
      <alignment vertical="center" wrapText="1"/>
    </xf>
    <xf numFmtId="0" fontId="19" fillId="0" borderId="0" xfId="0" applyNumberFormat="1" applyFont="1" applyAlignment="1">
      <alignment vertical="top" wrapText="1"/>
    </xf>
    <xf numFmtId="49" fontId="3" fillId="0" borderId="0" xfId="0" applyNumberFormat="1" applyFont="1" applyAlignment="1">
      <alignment horizontal="center" vertical="top" wrapText="1"/>
    </xf>
    <xf numFmtId="49" fontId="2"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9" fillId="0" borderId="3"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2" fillId="11" borderId="3" xfId="0" applyNumberFormat="1" applyFont="1" applyFill="1" applyBorder="1" applyAlignment="1">
      <alignment horizontal="left" vertical="center" wrapText="1" indent="1"/>
    </xf>
    <xf numFmtId="49" fontId="97" fillId="0" borderId="3" xfId="0" applyNumberFormat="1" applyFont="1" applyBorder="1" applyAlignment="1">
      <alignment horizontal="left" vertical="center" wrapText="1" indent="1"/>
    </xf>
    <xf numFmtId="0" fontId="10" fillId="0" borderId="0" xfId="0" applyNumberFormat="1" applyFont="1" applyAlignment="1"/>
    <xf numFmtId="0" fontId="36" fillId="0" borderId="0" xfId="0" applyNumberFormat="1" applyFont="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3" fillId="0" borderId="0" xfId="0" applyNumberFormat="1" applyFont="1" applyAlignment="1">
      <alignment horizontal="left" vertical="center" wrapText="1"/>
    </xf>
    <xf numFmtId="49" fontId="0" fillId="0" borderId="0" xfId="0" applyNumberFormat="1" applyFont="1">
      <alignment vertical="top"/>
    </xf>
    <xf numFmtId="0" fontId="33" fillId="0" borderId="0" xfId="0" applyNumberFormat="1" applyFont="1" applyAlignment="1">
      <alignment vertical="center" wrapText="1"/>
    </xf>
    <xf numFmtId="0" fontId="64"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33" fillId="0" borderId="0" xfId="0" applyNumberFormat="1" applyFont="1" applyAlignment="1">
      <alignment vertical="center" wrapText="1"/>
    </xf>
    <xf numFmtId="171" fontId="0" fillId="10" borderId="3"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171" fontId="0" fillId="10" borderId="3"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vertical="center" wrapText="1"/>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9" fillId="0" borderId="0" xfId="0" applyNumberFormat="1" applyFont="1" applyAlignment="1">
      <alignment vertical="center" wrapText="1"/>
    </xf>
    <xf numFmtId="0" fontId="14" fillId="0" borderId="0" xfId="0" applyNumberFormat="1" applyFont="1" applyAlignment="1">
      <alignment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0" fillId="0" borderId="0" xfId="0" applyNumberFormat="1" applyFont="1" applyAlignment="1">
      <alignment vertical="center"/>
    </xf>
    <xf numFmtId="0" fontId="20" fillId="0" borderId="0" xfId="0" applyNumberFormat="1" applyFont="1" applyAlignment="1">
      <alignment vertical="center"/>
    </xf>
    <xf numFmtId="0" fontId="28" fillId="0" borderId="0" xfId="0" applyNumberFormat="1" applyFont="1" applyAlignment="1">
      <alignment vertical="center"/>
    </xf>
    <xf numFmtId="0" fontId="14" fillId="0" borderId="0" xfId="0" applyNumberFormat="1" applyFont="1" applyAlignment="1">
      <alignment vertical="center" wrapText="1"/>
    </xf>
    <xf numFmtId="0" fontId="20" fillId="0" borderId="0" xfId="0" applyNumberFormat="1" applyFont="1" applyAlignment="1">
      <alignment vertical="center"/>
    </xf>
    <xf numFmtId="49" fontId="0" fillId="0" borderId="0" xfId="0" applyNumberFormat="1" applyFont="1">
      <alignment vertical="top"/>
    </xf>
    <xf numFmtId="49" fontId="20" fillId="0" borderId="0" xfId="0" applyNumberFormat="1" applyFont="1">
      <alignment vertical="top"/>
    </xf>
    <xf numFmtId="0" fontId="8" fillId="0" borderId="0" xfId="0" applyNumberFormat="1" applyFont="1" applyAlignment="1">
      <alignment horizontal="center" vertical="center" wrapText="1"/>
    </xf>
    <xf numFmtId="0" fontId="2" fillId="0" borderId="0" xfId="0" applyNumberFormat="1" applyFont="1" applyAlignment="1">
      <alignment vertical="center" wrapText="1"/>
    </xf>
    <xf numFmtId="0" fontId="17" fillId="0" borderId="0" xfId="0" applyNumberFormat="1" applyFont="1" applyAlignment="1">
      <alignment vertical="center" wrapText="1"/>
    </xf>
    <xf numFmtId="0" fontId="19" fillId="0" borderId="0" xfId="0" applyNumberFormat="1" applyFont="1" applyAlignment="1">
      <alignment vertical="center"/>
    </xf>
    <xf numFmtId="0" fontId="13" fillId="0" borderId="0" xfId="0" applyNumberFormat="1" applyFont="1" applyAlignment="1">
      <alignment vertical="center"/>
    </xf>
    <xf numFmtId="0" fontId="13" fillId="0" borderId="0" xfId="0" applyNumberFormat="1" applyFont="1" applyAlignment="1">
      <alignment vertical="center"/>
    </xf>
    <xf numFmtId="0" fontId="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49" fontId="0" fillId="0" borderId="0" xfId="0" applyNumberFormat="1" applyFont="1">
      <alignment vertical="top"/>
    </xf>
    <xf numFmtId="0" fontId="0" fillId="0" borderId="0" xfId="0" applyNumberFormat="1" applyFont="1" applyAlignment="1">
      <alignment vertical="center"/>
    </xf>
    <xf numFmtId="0" fontId="2" fillId="0" borderId="0" xfId="0" applyNumberFormat="1" applyFont="1" applyAlignment="1">
      <alignment vertical="center"/>
    </xf>
    <xf numFmtId="0" fontId="13" fillId="0" borderId="0" xfId="0" applyNumberFormat="1" applyFont="1" applyAlignment="1">
      <alignment vertical="center"/>
    </xf>
    <xf numFmtId="0" fontId="40" fillId="0" borderId="0" xfId="0" applyNumberFormat="1" applyFont="1" applyAlignment="1">
      <alignment vertical="center"/>
    </xf>
    <xf numFmtId="0" fontId="2"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49" fontId="20" fillId="0" borderId="3" xfId="0" applyNumberFormat="1" applyFont="1" applyBorder="1" applyAlignment="1">
      <alignment horizontal="center" vertical="center" wrapText="1"/>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0" fontId="0" fillId="0" borderId="0" xfId="0" applyNumberFormat="1" applyFont="1" applyAlignment="1">
      <alignmen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20"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49" fontId="20" fillId="0" borderId="0" xfId="0" applyNumberFormat="1" applyFont="1" applyAlignment="1">
      <alignment horizontal="center" vertical="center"/>
    </xf>
    <xf numFmtId="49" fontId="40" fillId="0" borderId="0" xfId="0" applyNumberFormat="1" applyFont="1">
      <alignment vertical="top"/>
    </xf>
    <xf numFmtId="49" fontId="3" fillId="0" borderId="0" xfId="0" applyNumberFormat="1" applyFont="1">
      <alignment vertical="top"/>
    </xf>
    <xf numFmtId="0" fontId="3" fillId="0" borderId="0" xfId="0" applyNumberFormat="1" applyFont="1" applyAlignment="1">
      <alignment vertical="center" wrapText="1"/>
    </xf>
    <xf numFmtId="0" fontId="2" fillId="0" borderId="0" xfId="0" applyNumberFormat="1" applyFont="1" applyAlignment="1">
      <alignment vertical="center" wrapText="1"/>
    </xf>
    <xf numFmtId="0" fontId="14"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vertical="center" wrapText="1"/>
    </xf>
    <xf numFmtId="0" fontId="2" fillId="6" borderId="0" xfId="0" applyNumberFormat="1" applyFont="1" applyFill="1" applyAlignment="1"/>
    <xf numFmtId="0" fontId="34" fillId="6" borderId="0" xfId="0" applyNumberFormat="1" applyFont="1" applyFill="1" applyAlignment="1"/>
    <xf numFmtId="0" fontId="20" fillId="6" borderId="0" xfId="0" applyNumberFormat="1" applyFont="1" applyFill="1" applyAlignment="1"/>
    <xf numFmtId="0" fontId="49" fillId="6" borderId="0" xfId="0" applyNumberFormat="1" applyFont="1" applyFill="1" applyAlignment="1"/>
    <xf numFmtId="0" fontId="0" fillId="6" borderId="0" xfId="0" applyNumberFormat="1" applyFont="1" applyFill="1" applyAlignment="1"/>
    <xf numFmtId="0" fontId="0" fillId="6" borderId="0" xfId="0" applyNumberFormat="1" applyFont="1" applyFill="1" applyAlignment="1">
      <alignment horizontal="center"/>
    </xf>
    <xf numFmtId="0" fontId="61" fillId="0" borderId="0" xfId="0" applyNumberFormat="1" applyFont="1" applyAlignment="1">
      <alignment vertical="center" wrapText="1"/>
    </xf>
    <xf numFmtId="0" fontId="3" fillId="0" borderId="0" xfId="0" applyNumberFormat="1" applyFont="1" applyAlignment="1">
      <alignment vertical="center" wrapText="1"/>
    </xf>
    <xf numFmtId="0" fontId="33" fillId="0" borderId="0" xfId="0" applyNumberFormat="1" applyFont="1" applyAlignment="1">
      <alignment vertical="center" wrapText="1"/>
    </xf>
    <xf numFmtId="0" fontId="20"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0" xfId="0" applyNumberFormat="1" applyFont="1" applyAlignment="1">
      <alignment vertical="center" wrapText="1"/>
    </xf>
    <xf numFmtId="0" fontId="14" fillId="0" borderId="0" xfId="0" applyNumberFormat="1" applyFont="1" applyAlignment="1">
      <alignment vertical="center" wrapText="1"/>
    </xf>
    <xf numFmtId="0" fontId="2"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3"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0" fillId="0" borderId="0" xfId="0" applyNumberFormat="1" applyFont="1" applyAlignment="1">
      <alignment vertical="center" wrapText="1"/>
    </xf>
    <xf numFmtId="0" fontId="19" fillId="0" borderId="0" xfId="0" applyNumberFormat="1" applyFont="1" applyAlignment="1">
      <alignment vertical="center" wrapText="1"/>
    </xf>
    <xf numFmtId="0" fontId="19" fillId="0" borderId="0" xfId="0" applyNumberFormat="1" applyFont="1" applyAlignment="1">
      <alignment horizontal="center" vertical="center" wrapText="1"/>
    </xf>
    <xf numFmtId="49" fontId="19" fillId="0" borderId="0" xfId="0" applyNumberFormat="1" applyFont="1" applyAlignment="1">
      <alignment vertical="center" wrapText="1"/>
    </xf>
    <xf numFmtId="0" fontId="42" fillId="0" borderId="0" xfId="0" applyNumberFormat="1" applyFont="1" applyAlignment="1">
      <alignment vertical="center" wrapText="1"/>
    </xf>
    <xf numFmtId="0" fontId="19" fillId="0" borderId="0" xfId="0" applyNumberFormat="1" applyFont="1" applyAlignment="1">
      <alignment horizontal="left" vertical="center" wrapText="1"/>
    </xf>
    <xf numFmtId="0" fontId="0" fillId="0" borderId="0" xfId="0" applyNumberFormat="1" applyFont="1" applyAlignment="1">
      <alignment vertical="center"/>
    </xf>
    <xf numFmtId="49" fontId="2" fillId="0" borderId="0" xfId="0" applyNumberFormat="1" applyFont="1" applyAlignment="1">
      <alignment vertical="center" wrapText="1"/>
    </xf>
    <xf numFmtId="49" fontId="2" fillId="0" borderId="0" xfId="0" applyNumberFormat="1" applyFont="1" applyAlignment="1">
      <alignment vertical="center" wrapText="1"/>
    </xf>
    <xf numFmtId="0" fontId="11"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49" fontId="20" fillId="0" borderId="0" xfId="0" applyNumberFormat="1" applyFont="1" applyAlignment="1">
      <alignment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left" vertical="center"/>
    </xf>
    <xf numFmtId="0" fontId="2" fillId="0" borderId="0" xfId="0" applyNumberFormat="1" applyFont="1" applyAlignment="1">
      <alignment vertical="center" wrapText="1"/>
    </xf>
    <xf numFmtId="4" fontId="2" fillId="7" borderId="3" xfId="0" applyNumberFormat="1" applyFont="1" applyFill="1" applyBorder="1" applyAlignment="1" applyProtection="1">
      <alignment horizontal="right" vertical="center" wrapText="1"/>
      <protection locked="0"/>
    </xf>
    <xf numFmtId="169" fontId="2" fillId="7" borderId="3" xfId="0" applyNumberFormat="1" applyFont="1" applyFill="1" applyBorder="1" applyAlignment="1" applyProtection="1">
      <alignment horizontal="right" vertical="center" wrapText="1"/>
      <protection locked="0"/>
    </xf>
    <xf numFmtId="4" fontId="2" fillId="0" borderId="3" xfId="0" applyNumberFormat="1" applyFont="1" applyBorder="1" applyAlignment="1">
      <alignment horizontal="right" vertical="center" wrapText="1"/>
    </xf>
    <xf numFmtId="4" fontId="20" fillId="0" borderId="3" xfId="0" applyNumberFormat="1" applyFont="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0"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2" fillId="0" borderId="10" xfId="0" applyNumberFormat="1" applyFont="1" applyBorder="1" applyAlignment="1">
      <alignment horizontal="left" vertical="top" wrapText="1" indent="1"/>
    </xf>
    <xf numFmtId="0" fontId="2" fillId="0" borderId="18" xfId="0" applyNumberFormat="1" applyFont="1" applyBorder="1" applyAlignment="1">
      <alignment horizontal="left" vertical="center" wrapText="1" indent="1"/>
    </xf>
    <xf numFmtId="0" fontId="22" fillId="6" borderId="0" xfId="0" applyNumberFormat="1" applyFont="1" applyFill="1" applyAlignment="1">
      <alignment horizontal="center" vertical="center" wrapText="1"/>
    </xf>
    <xf numFmtId="0" fontId="20" fillId="0" borderId="0" xfId="0" applyNumberFormat="1" applyFont="1" applyAlignment="1">
      <alignment vertical="center" wrapText="1"/>
    </xf>
    <xf numFmtId="0" fontId="2" fillId="0" borderId="8"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20" fillId="0" borderId="0" xfId="0" applyNumberFormat="1" applyFont="1" applyAlignment="1">
      <alignment vertical="center" wrapText="1"/>
    </xf>
    <xf numFmtId="49" fontId="64" fillId="0" borderId="0" xfId="0" applyNumberFormat="1" applyFont="1" applyAlignment="1">
      <alignment horizontal="center" vertical="center" wrapText="1"/>
    </xf>
    <xf numFmtId="0" fontId="27" fillId="0" borderId="0" xfId="0" applyNumberFormat="1" applyFont="1" applyAlignment="1">
      <alignment vertical="center" wrapText="1"/>
    </xf>
    <xf numFmtId="0" fontId="46" fillId="0" borderId="0" xfId="0" applyNumberFormat="1" applyFont="1" applyAlignment="1">
      <alignment vertical="center" wrapText="1"/>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top" wrapText="1"/>
    </xf>
    <xf numFmtId="0" fontId="2" fillId="0" borderId="0" xfId="0" applyNumberFormat="1" applyFont="1" applyAlignment="1">
      <alignment vertical="center" wrapText="1"/>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0" fillId="0" borderId="0" xfId="0" applyNumberFormat="1" applyFont="1">
      <alignment vertical="top"/>
    </xf>
    <xf numFmtId="49" fontId="19" fillId="0" borderId="0" xfId="0" applyNumberFormat="1" applyFont="1" applyAlignment="1">
      <alignment horizontal="center" vertical="center" wrapText="1"/>
    </xf>
    <xf numFmtId="0" fontId="56" fillId="0" borderId="0" xfId="0" applyNumberFormat="1" applyFont="1" applyAlignment="1">
      <alignment vertical="center" wrapText="1"/>
    </xf>
    <xf numFmtId="0" fontId="7"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9" fontId="17" fillId="0" borderId="0" xfId="0" applyNumberFormat="1" applyFont="1" applyAlignment="1">
      <alignment vertical="center"/>
    </xf>
    <xf numFmtId="49" fontId="17" fillId="0" borderId="0" xfId="0" applyNumberFormat="1" applyFont="1" applyAlignment="1">
      <alignment vertical="center"/>
    </xf>
    <xf numFmtId="49" fontId="2" fillId="0" borderId="0" xfId="0" applyNumberFormat="1" applyFont="1" applyAlignment="1">
      <alignment horizontal="center" vertical="top" wrapText="1"/>
    </xf>
    <xf numFmtId="49" fontId="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Alignment="1">
      <alignment vertical="center" wrapText="1"/>
    </xf>
    <xf numFmtId="49" fontId="17" fillId="0" borderId="0" xfId="0" applyNumberFormat="1" applyFont="1" applyAlignment="1">
      <alignment vertical="center" wrapText="1"/>
    </xf>
    <xf numFmtId="49" fontId="72" fillId="0" borderId="0" xfId="0" applyNumberFormat="1" applyFont="1" applyAlignment="1">
      <alignment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20" fillId="0" borderId="0" xfId="0" applyNumberFormat="1" applyFont="1" applyAlignment="1">
      <alignment vertical="center"/>
    </xf>
    <xf numFmtId="49" fontId="2" fillId="0" borderId="0" xfId="0" applyNumberFormat="1" applyFont="1" applyAlignment="1">
      <alignment vertical="center" wrapText="1"/>
    </xf>
    <xf numFmtId="0" fontId="11" fillId="0" borderId="0" xfId="0" applyNumberFormat="1" applyFont="1" applyAlignment="1">
      <alignment vertical="center" wrapText="1"/>
    </xf>
    <xf numFmtId="171" fontId="0" fillId="10" borderId="3" xfId="0" applyNumberFormat="1" applyFont="1" applyFill="1" applyBorder="1" applyAlignment="1" applyProtection="1">
      <alignment horizontal="left" vertical="center" wrapText="1"/>
      <protection locked="0"/>
    </xf>
    <xf numFmtId="0" fontId="98" fillId="10" borderId="3" xfId="0" applyNumberFormat="1" applyFont="1" applyFill="1" applyBorder="1" applyAlignment="1" applyProtection="1">
      <alignment horizontal="left" vertical="center" wrapText="1"/>
      <protection locked="0"/>
    </xf>
    <xf numFmtId="49" fontId="98" fillId="10" borderId="3" xfId="0" applyNumberFormat="1" applyFont="1" applyFill="1" applyBorder="1" applyAlignment="1" applyProtection="1">
      <alignment horizontal="left" vertical="center" wrapText="1"/>
      <protection locked="0"/>
    </xf>
    <xf numFmtId="49" fontId="19" fillId="0" borderId="0" xfId="0" applyNumberFormat="1" applyFont="1">
      <alignment vertical="top"/>
    </xf>
    <xf numFmtId="49" fontId="94" fillId="0" borderId="0" xfId="0" applyNumberFormat="1" applyFont="1" applyAlignment="1">
      <alignment horizontal="center" vertical="center" wrapText="1"/>
    </xf>
    <xf numFmtId="49" fontId="0" fillId="6" borderId="3"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0" fillId="0" borderId="3" xfId="0" applyNumberFormat="1" applyFont="1" applyBorder="1" applyAlignment="1">
      <alignment horizontal="left" vertical="center" wrapText="1" indent="2"/>
    </xf>
    <xf numFmtId="49" fontId="2" fillId="0" borderId="0" xfId="0" applyNumberFormat="1" applyFont="1">
      <alignment vertical="top"/>
    </xf>
    <xf numFmtId="49" fontId="2" fillId="0" borderId="0" xfId="0" applyNumberFormat="1" applyFont="1" applyAlignment="1">
      <alignment vertical="top" wrapText="1"/>
    </xf>
    <xf numFmtId="0" fontId="2" fillId="0" borderId="0" xfId="0" applyNumberFormat="1" applyFont="1" applyAlignment="1">
      <alignment vertical="center" wrapText="1"/>
    </xf>
    <xf numFmtId="49" fontId="2" fillId="0" borderId="0" xfId="0" applyNumberFormat="1" applyFont="1" applyAlignment="1">
      <alignment vertical="center" wrapText="1"/>
    </xf>
    <xf numFmtId="49" fontId="3" fillId="0" borderId="0" xfId="0" applyNumberFormat="1" applyFont="1">
      <alignment vertical="top"/>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49" fontId="2" fillId="0" borderId="0" xfId="0" applyNumberFormat="1" applyFont="1">
      <alignment vertical="top"/>
    </xf>
    <xf numFmtId="49" fontId="2" fillId="0" borderId="0" xfId="0" applyNumberFormat="1" applyFont="1">
      <alignment vertical="top"/>
    </xf>
    <xf numFmtId="0" fontId="2" fillId="0" borderId="0" xfId="0" applyNumberFormat="1" applyFont="1" applyAlignment="1"/>
    <xf numFmtId="0" fontId="8" fillId="0" borderId="0" xfId="0" applyNumberFormat="1" applyFont="1" applyAlignment="1">
      <alignment horizontal="center" vertical="center"/>
    </xf>
    <xf numFmtId="0" fontId="40" fillId="6" borderId="0" xfId="0" applyNumberFormat="1" applyFont="1" applyFill="1" applyAlignment="1"/>
    <xf numFmtId="49" fontId="0" fillId="0" borderId="0" xfId="0" applyNumberFormat="1" applyFont="1">
      <alignment vertical="top"/>
    </xf>
    <xf numFmtId="0" fontId="14" fillId="0" borderId="0" xfId="0" applyNumberFormat="1" applyFont="1" applyAlignment="1">
      <alignment horizontal="center" vertical="center" wrapText="1"/>
    </xf>
    <xf numFmtId="49" fontId="0" fillId="0" borderId="0" xfId="0" applyNumberFormat="1" applyFont="1">
      <alignment vertical="top"/>
    </xf>
    <xf numFmtId="49" fontId="0" fillId="9" borderId="0" xfId="0" applyNumberFormat="1" applyFont="1" applyFill="1">
      <alignment vertical="top"/>
    </xf>
    <xf numFmtId="0" fontId="14" fillId="0" borderId="0" xfId="0" applyNumberFormat="1" applyFont="1" applyAlignment="1">
      <alignment vertical="center" wrapText="1"/>
    </xf>
    <xf numFmtId="0" fontId="0" fillId="0" borderId="0" xfId="0" applyNumberFormat="1" applyFont="1" applyAlignment="1">
      <alignment vertical="center"/>
    </xf>
    <xf numFmtId="0" fontId="0" fillId="0" borderId="0" xfId="0" applyNumberFormat="1" applyFont="1" applyAlignment="1">
      <alignment vertical="center"/>
    </xf>
    <xf numFmtId="49" fontId="2" fillId="0" borderId="0" xfId="0" applyNumberFormat="1" applyFont="1" applyAlignment="1">
      <alignment horizontal="center" vertical="top"/>
    </xf>
    <xf numFmtId="49" fontId="0" fillId="0" borderId="0" xfId="0" applyNumberFormat="1" applyFont="1" applyAlignment="1">
      <alignment vertical="center"/>
    </xf>
    <xf numFmtId="49" fontId="2" fillId="0" borderId="0" xfId="0" applyNumberFormat="1" applyFont="1">
      <alignment vertical="top"/>
    </xf>
    <xf numFmtId="49" fontId="2" fillId="0" borderId="0" xfId="0" applyNumberFormat="1" applyFont="1">
      <alignment vertical="top"/>
    </xf>
    <xf numFmtId="49" fontId="2" fillId="0" borderId="0" xfId="0" applyNumberFormat="1" applyFont="1" applyAlignment="1">
      <alignment vertical="center"/>
    </xf>
    <xf numFmtId="49" fontId="0" fillId="0" borderId="0" xfId="0" applyNumberFormat="1" applyFont="1">
      <alignment vertical="top"/>
    </xf>
    <xf numFmtId="49" fontId="2" fillId="0" borderId="0" xfId="0" applyNumberFormat="1" applyFont="1">
      <alignment vertical="top"/>
    </xf>
    <xf numFmtId="49" fontId="0" fillId="0" borderId="0" xfId="0" applyNumberFormat="1" applyFont="1" applyAlignment="1">
      <alignment vertical="center" wrapText="1"/>
    </xf>
    <xf numFmtId="49" fontId="68" fillId="0" borderId="0" xfId="0" applyNumberFormat="1" applyFont="1" applyAlignment="1">
      <alignment vertical="top" wrapText="1"/>
    </xf>
    <xf numFmtId="49" fontId="68" fillId="0" borderId="0" xfId="0" applyNumberFormat="1" applyFont="1">
      <alignment vertical="top"/>
    </xf>
    <xf numFmtId="49" fontId="68" fillId="0" borderId="0" xfId="0" applyNumberFormat="1" applyFont="1" applyAlignment="1">
      <alignment horizontal="center" vertical="top" wrapText="1"/>
    </xf>
    <xf numFmtId="49" fontId="68" fillId="0" borderId="0" xfId="0" applyNumberFormat="1" applyFont="1" applyAlignment="1">
      <alignment horizontal="left" vertical="top" wrapText="1"/>
    </xf>
    <xf numFmtId="49" fontId="68" fillId="12" borderId="0" xfId="0" applyNumberFormat="1" applyFont="1" applyFill="1" applyAlignment="1">
      <alignment horizontal="left" vertical="top" wrapText="1"/>
    </xf>
    <xf numFmtId="0" fontId="68" fillId="0" borderId="0" xfId="0" applyNumberFormat="1" applyFont="1" applyAlignment="1">
      <alignment vertical="top" wrapText="1"/>
    </xf>
    <xf numFmtId="49" fontId="2"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0" fillId="0" borderId="0" xfId="0" applyNumberFormat="1" applyFont="1">
      <alignment vertical="top"/>
    </xf>
    <xf numFmtId="49" fontId="0" fillId="6" borderId="0" xfId="0" applyNumberFormat="1" applyFont="1" applyFill="1">
      <alignment vertical="top"/>
    </xf>
    <xf numFmtId="0" fontId="1" fillId="0" borderId="0" xfId="0" applyNumberFormat="1" applyFont="1" applyAlignment="1"/>
    <xf numFmtId="0" fontId="10" fillId="0" borderId="0" xfId="0" applyNumberFormat="1" applyFont="1" applyAlignment="1"/>
    <xf numFmtId="0" fontId="75" fillId="0" borderId="0" xfId="0" applyNumberFormat="1" applyFont="1" applyAlignment="1">
      <alignment vertical="center" wrapText="1"/>
    </xf>
    <xf numFmtId="0" fontId="75" fillId="0" borderId="0" xfId="0" applyNumberFormat="1" applyFont="1" applyAlignment="1">
      <alignment vertical="center"/>
    </xf>
    <xf numFmtId="0" fontId="18" fillId="26" borderId="58" xfId="0" applyNumberFormat="1" applyFont="1" applyFill="1" applyBorder="1" applyAlignment="1">
      <alignment horizontal="center" vertical="center" wrapText="1"/>
    </xf>
    <xf numFmtId="0" fontId="18" fillId="26" borderId="59" xfId="0" applyNumberFormat="1" applyFont="1" applyFill="1" applyBorder="1" applyAlignment="1">
      <alignment horizontal="center" vertical="center" wrapText="1"/>
    </xf>
    <xf numFmtId="0" fontId="18" fillId="26" borderId="60" xfId="0" applyNumberFormat="1" applyFont="1" applyFill="1" applyBorder="1" applyAlignment="1">
      <alignment horizontal="center" vertical="center" wrapText="1"/>
    </xf>
    <xf numFmtId="0" fontId="18" fillId="17" borderId="29" xfId="0" applyNumberFormat="1" applyFont="1" applyFill="1" applyBorder="1" applyAlignment="1">
      <alignment horizontal="right" vertical="center" wrapText="1" indent="1"/>
    </xf>
    <xf numFmtId="0" fontId="18" fillId="17" borderId="57" xfId="0" applyNumberFormat="1" applyFont="1" applyFill="1" applyBorder="1" applyAlignment="1">
      <alignment horizontal="right" vertical="center" wrapText="1" indent="1"/>
    </xf>
    <xf numFmtId="0" fontId="18" fillId="17" borderId="0" xfId="0" applyNumberFormat="1" applyFont="1" applyFill="1" applyAlignment="1">
      <alignment horizontal="right" vertical="center" wrapText="1" indent="1"/>
    </xf>
    <xf numFmtId="0" fontId="93" fillId="0" borderId="29" xfId="0" applyNumberFormat="1" applyFont="1" applyBorder="1" applyAlignment="1">
      <alignment vertical="center" wrapText="1"/>
    </xf>
    <xf numFmtId="0" fontId="93" fillId="0" borderId="0" xfId="0" applyNumberFormat="1" applyFont="1" applyAlignment="1">
      <alignment vertical="center" wrapText="1"/>
    </xf>
    <xf numFmtId="0" fontId="93" fillId="0" borderId="29" xfId="0" applyNumberFormat="1" applyFont="1" applyBorder="1" applyAlignment="1">
      <alignment horizontal="left" vertical="center" wrapText="1"/>
    </xf>
    <xf numFmtId="0" fontId="93" fillId="0" borderId="0" xfId="0" applyNumberFormat="1" applyFont="1" applyAlignment="1">
      <alignment horizontal="left" vertical="center" wrapText="1"/>
    </xf>
    <xf numFmtId="0" fontId="18" fillId="17" borderId="53" xfId="0" applyNumberFormat="1" applyFont="1" applyFill="1" applyBorder="1" applyAlignment="1">
      <alignment horizontal="right" vertical="center" wrapText="1" indent="1"/>
    </xf>
    <xf numFmtId="0" fontId="18" fillId="17" borderId="56" xfId="0" applyNumberFormat="1" applyFont="1" applyFill="1" applyBorder="1" applyAlignment="1">
      <alignment horizontal="right" vertical="center" wrapText="1" indent="1"/>
    </xf>
    <xf numFmtId="0" fontId="18" fillId="17" borderId="55" xfId="0" applyNumberFormat="1" applyFont="1" applyFill="1" applyBorder="1" applyAlignment="1">
      <alignment horizontal="right" vertical="center" wrapText="1" indent="1"/>
    </xf>
    <xf numFmtId="0" fontId="18" fillId="17" borderId="30" xfId="0" applyNumberFormat="1" applyFont="1" applyFill="1" applyBorder="1" applyAlignment="1">
      <alignment horizontal="right" vertical="center" wrapText="1" indent="1"/>
    </xf>
    <xf numFmtId="0" fontId="93" fillId="0" borderId="0" xfId="0" applyNumberFormat="1" applyFont="1" applyAlignment="1">
      <alignment vertical="top" wrapText="1"/>
    </xf>
    <xf numFmtId="49" fontId="39" fillId="0" borderId="0" xfId="0" applyNumberFormat="1" applyFont="1" applyAlignment="1">
      <alignment vertical="top" wrapText="1"/>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69" fillId="0" borderId="0" xfId="0" applyNumberFormat="1" applyFont="1" applyAlignment="1">
      <alignment horizontal="left" vertical="center" wrapText="1"/>
    </xf>
    <xf numFmtId="14" fontId="66"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5" xfId="0" applyNumberFormat="1" applyFont="1" applyBorder="1" applyAlignment="1">
      <alignment horizontal="center" vertical="center" wrapText="1"/>
    </xf>
    <xf numFmtId="0" fontId="2" fillId="0" borderId="65" xfId="0" applyNumberFormat="1" applyFont="1" applyBorder="1" applyAlignment="1">
      <alignment horizontal="center" vertical="center" wrapText="1"/>
    </xf>
    <xf numFmtId="49" fontId="7" fillId="0" borderId="61" xfId="0" applyNumberFormat="1" applyFont="1" applyBorder="1" applyAlignment="1">
      <alignment horizontal="center" vertical="center" wrapText="1"/>
    </xf>
    <xf numFmtId="49" fontId="7" fillId="0" borderId="6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0"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21"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63" xfId="0" applyNumberFormat="1" applyFont="1" applyBorder="1" applyAlignment="1">
      <alignment horizontal="center" vertical="center" wrapText="1"/>
    </xf>
    <xf numFmtId="0" fontId="2" fillId="0" borderId="64"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0" fillId="6" borderId="18" xfId="0" applyNumberFormat="1" applyFont="1" applyFill="1" applyBorder="1" applyAlignment="1">
      <alignment horizontal="center" vertical="center" wrapText="1"/>
    </xf>
    <xf numFmtId="0" fontId="2"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0" fontId="2" fillId="0" borderId="11" xfId="0" applyNumberFormat="1" applyFont="1" applyBorder="1" applyAlignment="1">
      <alignment horizontal="left" vertical="top" wrapText="1" indent="1"/>
    </xf>
    <xf numFmtId="0" fontId="2" fillId="0" borderId="8" xfId="0" applyNumberFormat="1" applyFont="1" applyBorder="1" applyAlignment="1">
      <alignment horizontal="left" vertical="top" wrapText="1" indent="1"/>
    </xf>
    <xf numFmtId="0" fontId="2" fillId="0" borderId="28"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8" xfId="0" applyNumberFormat="1" applyFont="1" applyBorder="1" applyAlignment="1">
      <alignment horizontal="left" vertical="center" inden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49" fontId="20" fillId="0" borderId="3" xfId="0" applyNumberFormat="1" applyFont="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49" fontId="0" fillId="7" borderId="3" xfId="0" applyNumberFormat="1" applyFont="1" applyFill="1" applyBorder="1" applyAlignment="1" applyProtection="1">
      <alignment horizontal="left" vertical="top"/>
      <protection locked="0"/>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0" fillId="6" borderId="3" xfId="0" applyNumberFormat="1" applyFont="1" applyFill="1" applyBorder="1" applyAlignment="1">
      <alignment horizontal="left" vertical="center" wrapText="1"/>
    </xf>
    <xf numFmtId="49" fontId="0" fillId="6" borderId="3" xfId="0" applyNumberFormat="1" applyFont="1" applyFill="1" applyBorder="1" applyAlignment="1">
      <alignment horizontal="left" vertical="center" wrapText="1"/>
    </xf>
    <xf numFmtId="0" fontId="2" fillId="0" borderId="8" xfId="0" applyNumberFormat="1" applyFont="1" applyBorder="1" applyAlignment="1">
      <alignment horizontal="center" vertical="center" wrapText="1"/>
    </xf>
    <xf numFmtId="0" fontId="2" fillId="0" borderId="18" xfId="0" applyNumberFormat="1" applyFont="1" applyBorder="1" applyAlignment="1">
      <alignment horizontal="left" vertical="center" wrapText="1" inden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3"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49" fontId="2" fillId="0" borderId="3" xfId="0" applyNumberFormat="1" applyFont="1" applyBorder="1" applyAlignment="1">
      <alignment horizontal="center" vertical="center"/>
    </xf>
    <xf numFmtId="0" fontId="2" fillId="0" borderId="5" xfId="0" applyNumberFormat="1" applyFont="1" applyBorder="1" applyAlignment="1">
      <alignment horizontal="left" vertical="center" wrapText="1"/>
    </xf>
    <xf numFmtId="0" fontId="12" fillId="0" borderId="18" xfId="0" applyNumberFormat="1" applyFont="1" applyBorder="1" applyAlignment="1">
      <alignment horizontal="left" vertical="center"/>
    </xf>
    <xf numFmtId="0" fontId="12" fillId="0" borderId="20" xfId="0" applyNumberFormat="1" applyFont="1" applyBorder="1" applyAlignment="1">
      <alignment horizontal="left"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left" vertical="center" wrapText="1"/>
    </xf>
    <xf numFmtId="0" fontId="2" fillId="0" borderId="10" xfId="0" applyNumberFormat="1" applyFont="1" applyBorder="1" applyAlignment="1">
      <alignment horizontal="left" vertical="center" wrapText="1" inden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6"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2" fillId="0" borderId="20"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0" fontId="19"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8" xfId="0" applyNumberFormat="1" applyFont="1" applyFill="1" applyBorder="1" applyAlignment="1">
      <alignment horizontal="left" vertical="center" wrapText="1"/>
    </xf>
    <xf numFmtId="0" fontId="2"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0" fontId="2" fillId="5" borderId="3" xfId="0" applyNumberFormat="1" applyFont="1" applyFill="1" applyBorder="1" applyAlignment="1">
      <alignment horizontal="left" vertical="center" wrapText="1" indent="1"/>
    </xf>
    <xf numFmtId="0" fontId="8" fillId="0" borderId="18" xfId="0" applyNumberFormat="1" applyFont="1" applyBorder="1" applyAlignment="1">
      <alignment horizontal="center" vertical="center"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19"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171" fontId="2" fillId="5" borderId="3" xfId="0" applyNumberFormat="1" applyFont="1" applyFill="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71" fontId="19" fillId="0" borderId="3"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5" xfId="0" applyNumberFormat="1" applyFont="1" applyBorder="1" applyAlignment="1">
      <alignment horizontal="center" vertical="center" wrapText="1"/>
    </xf>
    <xf numFmtId="171"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0" fillId="6" borderId="10" xfId="0" applyNumberFormat="1" applyFont="1" applyFill="1" applyBorder="1" applyAlignment="1">
      <alignment horizontal="center" vertical="center" wrapTex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15" xfId="0" applyNumberFormat="1" applyFont="1" applyFill="1" applyBorder="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0" fillId="0" borderId="15" xfId="0" applyNumberFormat="1" applyFont="1" applyBorder="1" applyAlignment="1">
      <alignment horizontal="center" vertical="top" wrapText="1"/>
    </xf>
    <xf numFmtId="49" fontId="2" fillId="0" borderId="3" xfId="0" applyNumberFormat="1" applyFont="1" applyBorder="1" applyAlignment="1">
      <alignment horizontal="left" vertical="center" wrapText="1" indent="1"/>
    </xf>
    <xf numFmtId="0" fontId="17" fillId="0" borderId="3" xfId="0" applyNumberFormat="1" applyFont="1" applyBorder="1" applyAlignment="1">
      <alignment horizontal="left" vertical="top" wrapTex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0" xfId="0" applyNumberFormat="1" applyFont="1" applyFill="1" applyBorder="1" applyAlignment="1">
      <alignment horizontal="center" vertical="center" wrapText="1"/>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0" fontId="20" fillId="0" borderId="10" xfId="0" applyNumberFormat="1" applyFont="1" applyBorder="1" applyAlignment="1">
      <alignment horizontal="left" vertical="center" wrapTex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64"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19" fillId="0" borderId="0" xfId="0" applyNumberFormat="1" applyFont="1" applyAlignment="1">
      <alignment horizontal="center" vertical="top"/>
    </xf>
    <xf numFmtId="0" fontId="2"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7" fillId="0" borderId="0" xfId="0" applyNumberFormat="1" applyFont="1" applyAlignment="1">
      <alignment horizontal="left" vertical="top" wrapTex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49" fontId="2" fillId="27" borderId="0" xfId="0" applyNumberFormat="1" applyFont="1" applyFill="1" applyAlignment="1">
      <alignment horizontal="center" vertical="center" textRotation="90" wrapTex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2" fillId="0" borderId="3"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56" xfId="0" applyNumberFormat="1" applyFont="1" applyBorder="1" applyAlignment="1">
      <alignment horizontal="center" vertical="center"/>
    </xf>
    <xf numFmtId="0" fontId="2" fillId="0" borderId="66"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NumberFormat="1" applyFont="1" applyBorder="1" applyAlignment="1">
      <alignment horizontal="left" vertical="top" wrapText="1"/>
    </xf>
    <xf numFmtId="0" fontId="2" fillId="6"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12" borderId="3"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8"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xf>
    <xf numFmtId="0" fontId="2"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11"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0" fontId="2" fillId="0" borderId="6" xfId="0" applyNumberFormat="1" applyFont="1" applyBorder="1" applyAlignment="1">
      <alignment horizontal="left" vertical="top" wrapText="1" indent="1"/>
    </xf>
    <xf numFmtId="0" fontId="11" fillId="6" borderId="0" xfId="0" applyNumberFormat="1" applyFont="1" applyFill="1" applyAlignment="1">
      <alignment horizontal="center" vertical="top"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8" fontId="2" fillId="0" borderId="8" xfId="0" applyNumberFormat="1" applyFont="1" applyBorder="1" applyAlignment="1">
      <alignment horizontal="center" vertical="center" wrapText="1"/>
    </xf>
    <xf numFmtId="168" fontId="2" fillId="0" borderId="14" xfId="0" applyNumberFormat="1" applyFont="1" applyBorder="1" applyAlignment="1">
      <alignment horizontal="center" vertical="center" wrapText="1"/>
    </xf>
    <xf numFmtId="168" fontId="2" fillId="0" borderId="5" xfId="0" applyNumberFormat="1" applyFont="1" applyBorder="1" applyAlignment="1">
      <alignment horizontal="center" vertical="center" wrapText="1"/>
    </xf>
    <xf numFmtId="168" fontId="2" fillId="0" borderId="6" xfId="0" applyNumberFormat="1" applyFont="1" applyBorder="1" applyAlignment="1">
      <alignment horizontal="center" vertical="center" wrapText="1"/>
    </xf>
    <xf numFmtId="168" fontId="2" fillId="0" borderId="4" xfId="0" applyNumberFormat="1" applyFont="1" applyBorder="1" applyAlignment="1">
      <alignment horizontal="center"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8" fontId="2" fillId="0" borderId="3" xfId="0" applyNumberFormat="1" applyFont="1" applyBorder="1" applyAlignment="1">
      <alignment horizontal="center" vertical="center" wrapText="1"/>
    </xf>
    <xf numFmtId="168" fontId="17" fillId="0" borderId="48" xfId="0" applyNumberFormat="1" applyFont="1" applyBorder="1" applyAlignment="1">
      <alignment horizontal="center" vertical="center" wrapText="1"/>
    </xf>
    <xf numFmtId="168" fontId="17" fillId="0" borderId="42" xfId="0" applyNumberFormat="1" applyFont="1" applyBorder="1" applyAlignment="1">
      <alignment horizontal="center" vertical="center" wrapText="1"/>
    </xf>
    <xf numFmtId="168" fontId="17" fillId="0" borderId="67" xfId="0" applyNumberFormat="1" applyFont="1" applyBorder="1" applyAlignment="1">
      <alignment horizontal="center" vertical="center" wrapText="1"/>
    </xf>
    <xf numFmtId="49" fontId="2" fillId="11" borderId="21"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0" fontId="2" fillId="5" borderId="3" xfId="0" applyNumberFormat="1" applyFont="1" applyFill="1" applyBorder="1" applyAlignment="1">
      <alignment horizontal="left"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49" fontId="0" fillId="10" borderId="3" xfId="0" applyNumberFormat="1" applyFont="1" applyFill="1" applyBorder="1" applyAlignment="1" applyProtection="1">
      <alignment horizontal="left" vertical="center" wrapTex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3" fontId="2" fillId="10" borderId="3" xfId="0" applyNumberFormat="1" applyFont="1" applyFill="1" applyBorder="1" applyAlignment="1" applyProtection="1">
      <alignment horizontal="center" vertical="center" wrapText="1"/>
      <protection locked="0"/>
    </xf>
    <xf numFmtId="49" fontId="2" fillId="11" borderId="5" xfId="0" applyNumberFormat="1" applyFont="1" applyFill="1" applyBorder="1" applyAlignment="1">
      <alignment horizontal="center" vertical="center" wrapText="1"/>
    </xf>
    <xf numFmtId="49" fontId="96" fillId="0" borderId="4"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2" fillId="0" borderId="27" xfId="0" applyNumberFormat="1" applyFont="1" applyBorder="1" applyAlignment="1">
      <alignment horizontal="center" vertical="center"/>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0" fontId="2" fillId="7" borderId="3" xfId="0" applyNumberFormat="1" applyFont="1" applyFill="1" applyBorder="1" applyAlignment="1" applyProtection="1">
      <alignment horizontal="left" vertical="top" wrapText="1"/>
      <protection locked="0"/>
    </xf>
    <xf numFmtId="171"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0" borderId="3" xfId="0" applyNumberFormat="1" applyFont="1" applyFill="1" applyBorder="1" applyAlignment="1" applyProtection="1">
      <alignment horizontal="left" vertical="top" wrapText="1"/>
      <protection locked="0"/>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96" fillId="0" borderId="3" xfId="0" applyNumberFormat="1" applyFont="1" applyBorder="1" applyAlignment="1">
      <alignment horizontal="center" vertical="center" wrapTex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71"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21"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7"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0" fontId="18" fillId="0" borderId="10" xfId="0" applyNumberFormat="1" applyFont="1" applyBorder="1" applyAlignment="1">
      <alignment horizontal="left" vertical="center" wrapText="1" indent="1"/>
    </xf>
    <xf numFmtId="0" fontId="18" fillId="0" borderId="18" xfId="0" applyNumberFormat="1" applyFont="1" applyBorder="1" applyAlignment="1">
      <alignment horizontal="left" vertical="center" wrapText="1" indent="1"/>
    </xf>
    <xf numFmtId="0" fontId="2" fillId="0" borderId="0" xfId="0" applyNumberFormat="1" applyFont="1" applyAlignment="1">
      <alignment horizontal="right" vertical="center"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7" fillId="6" borderId="0" xfId="0" applyNumberFormat="1" applyFont="1" applyFill="1" applyAlignment="1">
      <alignment horizontal="center" vertical="center" wrapTex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3" name="UPDATE_PLAN1X_DATA"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4" name="PHONE_PIC" descr="update_org.png"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3" Type="http://schemas.openxmlformats.org/officeDocument/2006/relationships/hyperlink" Target="https://portal.eias.ru/Portal/DownloadPage.aspx?type=12&amp;guid=d6480712-7565-4ce5-86ff-f9669d102fbd" TargetMode="External"/><Relationship Id="rId2" Type="http://schemas.openxmlformats.org/officeDocument/2006/relationships/hyperlink" Target="https://portal.eias.ru/Portal/DownloadPage.aspx?type=12&amp;guid=799461a6-affa-4fcd-a386-0e53059fa1ce" TargetMode="External"/><Relationship Id="rId1" Type="http://schemas.openxmlformats.org/officeDocument/2006/relationships/hyperlink" Target="https://www.unipro.energy/activities/tariff/warm/berezovskaya/2024/" TargetMode="External"/><Relationship Id="rId5" Type="http://schemas.openxmlformats.org/officeDocument/2006/relationships/drawing" Target="../drawings/drawing4.xml"/><Relationship Id="rId4" Type="http://schemas.openxmlformats.org/officeDocument/2006/relationships/hyperlink" Target="https://portal.eias.ru/Portal/DownloadPage.aspx?type=12&amp;guid=6e6ad581-5d29-4fd5-9bf2-8e9c03ff874a"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D27D-0B12-2678-B6BE-D8A65865AAF8}">
  <dimension ref="A1:AB21"/>
  <sheetViews>
    <sheetView showGridLines="0" showRowColHeaders="0" workbookViewId="0"/>
  </sheetViews>
  <sheetFormatPr defaultColWidth="11" defaultRowHeight="12.75" customHeight="1"/>
  <cols>
    <col min="1" max="1" width="5.42578125" style="1798" customWidth="1"/>
    <col min="2" max="2" width="9.140625" style="1798" customWidth="1"/>
    <col min="3" max="3" width="16.42578125" style="1798" customWidth="1"/>
    <col min="4" max="25" width="6.28515625" style="1798" customWidth="1"/>
    <col min="26" max="28" width="11" style="1798"/>
  </cols>
  <sheetData>
    <row r="1" spans="1:28" ht="15.75" customHeight="1">
      <c r="A1" s="1611"/>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3"/>
      <c r="Z1" s="1612"/>
      <c r="AA1" s="1614" t="s">
        <v>0</v>
      </c>
      <c r="AB1" s="1612"/>
    </row>
    <row r="2" spans="1:28" ht="17.25" customHeight="1">
      <c r="A2" s="1612"/>
      <c r="B2" s="2096" t="s">
        <v>1</v>
      </c>
      <c r="C2" s="2096"/>
      <c r="D2" s="2096"/>
      <c r="E2" s="2096"/>
      <c r="F2" s="2096"/>
      <c r="G2" s="2096"/>
      <c r="H2" s="2096"/>
      <c r="I2" s="2096"/>
      <c r="J2" s="2096"/>
      <c r="K2" s="2096"/>
      <c r="L2" s="2096"/>
      <c r="M2" s="2096"/>
      <c r="N2" s="2096"/>
      <c r="O2" s="2096"/>
      <c r="P2" s="2096"/>
      <c r="Q2" s="1615"/>
      <c r="R2" s="1615"/>
      <c r="S2" s="1615"/>
      <c r="T2" s="1615"/>
      <c r="U2" s="1615"/>
      <c r="V2" s="1616"/>
      <c r="W2" s="1615"/>
      <c r="X2" s="1615"/>
      <c r="Y2" s="1613"/>
      <c r="Z2" s="1612"/>
      <c r="AA2" s="1614"/>
      <c r="AB2" s="1612"/>
    </row>
    <row r="3" spans="1:28" ht="15.75" customHeight="1">
      <c r="A3" s="1612"/>
      <c r="B3" s="2097" t="s">
        <v>2</v>
      </c>
      <c r="C3" s="2097"/>
      <c r="D3" s="2097"/>
      <c r="E3" s="2097"/>
      <c r="F3" s="2097"/>
      <c r="G3" s="2097"/>
      <c r="H3" s="2097"/>
      <c r="I3" s="2097"/>
      <c r="J3" s="2097"/>
      <c r="K3" s="2097"/>
      <c r="L3" s="2097"/>
      <c r="M3" s="2097"/>
      <c r="N3" s="2097"/>
      <c r="O3" s="2097"/>
      <c r="P3" s="2097"/>
      <c r="Q3" s="1616"/>
      <c r="R3" s="1616"/>
      <c r="S3" s="1615"/>
      <c r="T3" s="1615"/>
      <c r="U3" s="1615"/>
      <c r="V3" s="1616"/>
      <c r="W3" s="1616"/>
      <c r="X3" s="1616"/>
      <c r="Y3" s="1616"/>
      <c r="Z3" s="1612"/>
      <c r="AA3" s="1614"/>
      <c r="AB3" s="1612"/>
    </row>
    <row r="4" spans="1:28" ht="17.25" customHeight="1">
      <c r="A4" s="1612"/>
      <c r="B4" s="1617"/>
      <c r="C4" s="1612"/>
      <c r="D4" s="1616"/>
      <c r="E4" s="1616"/>
      <c r="F4" s="1616"/>
      <c r="G4" s="1616"/>
      <c r="H4" s="1616"/>
      <c r="I4" s="1616"/>
      <c r="J4" s="1616"/>
      <c r="K4" s="1616"/>
      <c r="L4" s="1616"/>
      <c r="M4" s="1616"/>
      <c r="N4" s="1616"/>
      <c r="O4" s="1616"/>
      <c r="P4" s="1616"/>
      <c r="Q4" s="1616"/>
      <c r="R4" s="1616"/>
      <c r="S4" s="1616"/>
      <c r="T4" s="1616"/>
      <c r="U4" s="1616"/>
      <c r="V4" s="1616"/>
      <c r="W4" s="1616"/>
      <c r="X4" s="1616"/>
      <c r="Y4" s="1616"/>
      <c r="Z4" s="1612"/>
      <c r="AA4" s="1614"/>
      <c r="AB4" s="1612"/>
    </row>
    <row r="5" spans="1:28" ht="22.5" customHeight="1">
      <c r="A5" s="1618"/>
      <c r="B5" s="2098"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099"/>
      <c r="D5" s="2099"/>
      <c r="E5" s="2099"/>
      <c r="F5" s="2099"/>
      <c r="G5" s="2099"/>
      <c r="H5" s="2099"/>
      <c r="I5" s="2099"/>
      <c r="J5" s="2099"/>
      <c r="K5" s="2099"/>
      <c r="L5" s="2099"/>
      <c r="M5" s="2099"/>
      <c r="N5" s="2099"/>
      <c r="O5" s="2099"/>
      <c r="P5" s="2099"/>
      <c r="Q5" s="2099"/>
      <c r="R5" s="2099"/>
      <c r="S5" s="2099"/>
      <c r="T5" s="2099"/>
      <c r="U5" s="2099"/>
      <c r="V5" s="2099"/>
      <c r="W5" s="2099"/>
      <c r="X5" s="2099"/>
      <c r="Y5" s="2100"/>
      <c r="Z5" s="1618"/>
      <c r="AA5" s="1614"/>
      <c r="AB5" s="1618"/>
    </row>
    <row r="6" spans="1:28" ht="15" customHeight="1">
      <c r="A6" s="1619"/>
      <c r="B6" s="2101" t="s">
        <v>3</v>
      </c>
      <c r="C6" s="2102"/>
      <c r="D6" s="1620"/>
      <c r="E6" s="1620"/>
      <c r="F6" s="1620"/>
      <c r="G6" s="1620"/>
      <c r="H6" s="1620"/>
      <c r="I6" s="1620"/>
      <c r="J6" s="1620"/>
      <c r="K6" s="1620"/>
      <c r="L6" s="1620"/>
      <c r="M6" s="1620"/>
      <c r="N6" s="1620"/>
      <c r="O6" s="1620"/>
      <c r="P6" s="1620"/>
      <c r="Q6" s="1620"/>
      <c r="R6" s="1620"/>
      <c r="S6" s="1620"/>
      <c r="T6" s="1620"/>
      <c r="U6" s="1620"/>
      <c r="V6" s="1620"/>
      <c r="W6" s="1620"/>
      <c r="X6" s="1620"/>
      <c r="Y6" s="1621"/>
      <c r="Z6" s="1622"/>
      <c r="AA6" s="1623"/>
      <c r="AB6" s="1623"/>
    </row>
    <row r="7" spans="1:28" ht="15" customHeight="1">
      <c r="A7" s="1619"/>
      <c r="B7" s="2101"/>
      <c r="C7" s="2102"/>
      <c r="D7" s="1620"/>
      <c r="E7" s="1620"/>
      <c r="F7" s="1624"/>
      <c r="G7" s="1624"/>
      <c r="H7" s="1624"/>
      <c r="I7" s="1624"/>
      <c r="J7" s="1624"/>
      <c r="K7" s="1624"/>
      <c r="L7" s="1624"/>
      <c r="M7" s="1624"/>
      <c r="N7" s="1624"/>
      <c r="O7" s="1620"/>
      <c r="P7" s="1624"/>
      <c r="Q7" s="1624"/>
      <c r="R7" s="1624"/>
      <c r="S7" s="1624"/>
      <c r="T7" s="1624"/>
      <c r="U7" s="1624"/>
      <c r="V7" s="1624"/>
      <c r="W7" s="1624"/>
      <c r="X7" s="1624"/>
      <c r="Y7" s="1621"/>
      <c r="Z7" s="1622"/>
      <c r="AA7" s="1623"/>
      <c r="AB7" s="1623"/>
    </row>
    <row r="8" spans="1:28" ht="15" customHeight="1">
      <c r="A8" s="1619"/>
      <c r="B8" s="2101"/>
      <c r="C8" s="2102"/>
      <c r="D8" s="1625"/>
      <c r="E8" s="1626" t="s">
        <v>4</v>
      </c>
      <c r="F8" s="2104" t="s">
        <v>5</v>
      </c>
      <c r="G8" s="2105"/>
      <c r="H8" s="2105"/>
      <c r="I8" s="2105"/>
      <c r="J8" s="2105"/>
      <c r="K8" s="2105"/>
      <c r="L8" s="2105"/>
      <c r="M8" s="2105"/>
      <c r="N8" s="1625"/>
      <c r="O8" s="1627" t="s">
        <v>4</v>
      </c>
      <c r="P8" s="2106" t="s">
        <v>6</v>
      </c>
      <c r="Q8" s="2107"/>
      <c r="R8" s="2107"/>
      <c r="S8" s="2107"/>
      <c r="T8" s="2107"/>
      <c r="U8" s="2107"/>
      <c r="V8" s="2107"/>
      <c r="W8" s="2107"/>
      <c r="X8" s="2107"/>
      <c r="Y8" s="1621"/>
      <c r="Z8" s="1622"/>
      <c r="AA8" s="1623"/>
      <c r="AB8" s="1623"/>
    </row>
    <row r="9" spans="1:28" ht="15" customHeight="1">
      <c r="A9" s="1619"/>
      <c r="B9" s="2101"/>
      <c r="C9" s="2102"/>
      <c r="D9" s="1625"/>
      <c r="E9" s="1628" t="s">
        <v>4</v>
      </c>
      <c r="F9" s="2104" t="s">
        <v>7</v>
      </c>
      <c r="G9" s="2105"/>
      <c r="H9" s="2105"/>
      <c r="I9" s="2105"/>
      <c r="J9" s="2105"/>
      <c r="K9" s="2105"/>
      <c r="L9" s="2105"/>
      <c r="M9" s="2105"/>
      <c r="N9" s="1625"/>
      <c r="O9" s="1629" t="s">
        <v>4</v>
      </c>
      <c r="P9" s="2106" t="s">
        <v>8</v>
      </c>
      <c r="Q9" s="2107"/>
      <c r="R9" s="2107"/>
      <c r="S9" s="2107"/>
      <c r="T9" s="2107"/>
      <c r="U9" s="2107"/>
      <c r="V9" s="2107"/>
      <c r="W9" s="2107"/>
      <c r="X9" s="2107"/>
      <c r="Y9" s="1621"/>
      <c r="Z9" s="1622"/>
      <c r="AA9" s="1623"/>
      <c r="AB9" s="1623"/>
    </row>
    <row r="10" spans="1:28" ht="30" customHeight="1">
      <c r="A10" s="1619"/>
      <c r="B10" s="2101"/>
      <c r="C10" s="2103"/>
      <c r="D10" s="1630"/>
      <c r="E10" s="1631"/>
      <c r="F10" s="1624"/>
      <c r="G10" s="1624"/>
      <c r="H10" s="1624"/>
      <c r="I10" s="1624"/>
      <c r="J10" s="1624"/>
      <c r="K10" s="1624"/>
      <c r="L10" s="1624"/>
      <c r="M10" s="1624"/>
      <c r="N10" s="1624"/>
      <c r="O10" s="1631"/>
      <c r="P10" s="1624"/>
      <c r="Q10" s="1624"/>
      <c r="R10" s="1624"/>
      <c r="S10" s="1624"/>
      <c r="T10" s="1624"/>
      <c r="U10" s="1624"/>
      <c r="V10" s="1624"/>
      <c r="W10" s="1624"/>
      <c r="X10" s="1624"/>
      <c r="Y10" s="1621"/>
      <c r="Z10" s="1622"/>
      <c r="AA10" s="1623"/>
      <c r="AB10" s="1623"/>
    </row>
    <row r="11" spans="1:28" ht="19.5" customHeight="1">
      <c r="A11" s="1619"/>
      <c r="B11" s="2108" t="s">
        <v>9</v>
      </c>
      <c r="C11" s="2109"/>
      <c r="D11" s="1625"/>
      <c r="E11" s="1632"/>
      <c r="F11" s="1632"/>
      <c r="G11" s="1632"/>
      <c r="H11" s="1632"/>
      <c r="I11" s="1632"/>
      <c r="J11" s="1632"/>
      <c r="K11" s="1632"/>
      <c r="L11" s="1632"/>
      <c r="M11" s="1632"/>
      <c r="N11" s="1632"/>
      <c r="O11" s="1632"/>
      <c r="P11" s="1632"/>
      <c r="Q11" s="1632"/>
      <c r="R11" s="1632"/>
      <c r="S11" s="1632"/>
      <c r="T11" s="1632"/>
      <c r="U11" s="1632"/>
      <c r="V11" s="1632"/>
      <c r="W11" s="1632"/>
      <c r="X11" s="1632"/>
      <c r="Y11" s="1621"/>
      <c r="Z11" s="1622"/>
      <c r="AA11" s="1623"/>
      <c r="AB11" s="1623"/>
    </row>
    <row r="12" spans="1:28" ht="69" customHeight="1">
      <c r="A12" s="1619"/>
      <c r="B12" s="2101"/>
      <c r="C12" s="2103"/>
      <c r="D12" s="1633"/>
      <c r="E12" s="2105" t="s">
        <v>10</v>
      </c>
      <c r="F12" s="2105"/>
      <c r="G12" s="2105"/>
      <c r="H12" s="2105"/>
      <c r="I12" s="2105"/>
      <c r="J12" s="2105"/>
      <c r="K12" s="2105"/>
      <c r="L12" s="2105"/>
      <c r="M12" s="2105"/>
      <c r="N12" s="2105"/>
      <c r="O12" s="2105"/>
      <c r="P12" s="2105"/>
      <c r="Q12" s="2105"/>
      <c r="R12" s="2105"/>
      <c r="S12" s="2105"/>
      <c r="T12" s="2105"/>
      <c r="U12" s="2105"/>
      <c r="V12" s="2105"/>
      <c r="W12" s="2105"/>
      <c r="X12" s="2105"/>
      <c r="Y12" s="1621"/>
      <c r="Z12" s="1622"/>
      <c r="AA12" s="1623"/>
      <c r="AB12" s="1623"/>
    </row>
    <row r="13" spans="1:28" ht="15" customHeight="1">
      <c r="A13" s="1619"/>
      <c r="B13" s="2108" t="s">
        <v>11</v>
      </c>
      <c r="C13" s="2109"/>
      <c r="D13" s="1620"/>
      <c r="E13" s="1632"/>
      <c r="F13" s="1632"/>
      <c r="G13" s="1632"/>
      <c r="H13" s="1632"/>
      <c r="I13" s="1632"/>
      <c r="J13" s="1632"/>
      <c r="K13" s="1632"/>
      <c r="L13" s="1632"/>
      <c r="M13" s="1632"/>
      <c r="N13" s="1632"/>
      <c r="O13" s="1632"/>
      <c r="P13" s="1632"/>
      <c r="Q13" s="1632"/>
      <c r="R13" s="1632"/>
      <c r="S13" s="1632"/>
      <c r="T13" s="1632"/>
      <c r="U13" s="1632"/>
      <c r="V13" s="1632"/>
      <c r="W13" s="1632"/>
      <c r="X13" s="1632"/>
      <c r="Y13" s="1621"/>
      <c r="Z13" s="1622"/>
      <c r="AA13" s="1623"/>
      <c r="AB13" s="1623"/>
    </row>
    <row r="14" spans="1:28" ht="57" customHeight="1">
      <c r="A14" s="1619"/>
      <c r="B14" s="2101"/>
      <c r="C14" s="2102"/>
      <c r="D14" s="1625"/>
      <c r="E14" s="2112" t="s">
        <v>12</v>
      </c>
      <c r="F14" s="2112"/>
      <c r="G14" s="2112"/>
      <c r="H14" s="2112"/>
      <c r="I14" s="2112"/>
      <c r="J14" s="2112"/>
      <c r="K14" s="2112"/>
      <c r="L14" s="2112"/>
      <c r="M14" s="2112"/>
      <c r="N14" s="2112"/>
      <c r="O14" s="2112"/>
      <c r="P14" s="2112"/>
      <c r="Q14" s="2112"/>
      <c r="R14" s="2112"/>
      <c r="S14" s="2112"/>
      <c r="T14" s="2112"/>
      <c r="U14" s="2112"/>
      <c r="V14" s="2112"/>
      <c r="W14" s="2112"/>
      <c r="X14" s="2112"/>
      <c r="Y14" s="1621"/>
      <c r="Z14" s="1622"/>
      <c r="AA14" s="1623"/>
      <c r="AB14" s="1623"/>
    </row>
    <row r="15" spans="1:28" ht="16.5" customHeight="1">
      <c r="A15" s="1619"/>
      <c r="B15" s="2110"/>
      <c r="C15" s="2111"/>
      <c r="D15" s="1634"/>
      <c r="E15" s="1635"/>
      <c r="F15" s="1635"/>
      <c r="G15" s="1635"/>
      <c r="H15" s="1635"/>
      <c r="I15" s="1635"/>
      <c r="J15" s="1635"/>
      <c r="K15" s="1635"/>
      <c r="L15" s="1635"/>
      <c r="M15" s="1635"/>
      <c r="N15" s="1635"/>
      <c r="O15" s="1635"/>
      <c r="P15" s="1635"/>
      <c r="Q15" s="1635"/>
      <c r="R15" s="1635"/>
      <c r="S15" s="1635"/>
      <c r="T15" s="1635"/>
      <c r="U15" s="1635"/>
      <c r="V15" s="1635"/>
      <c r="W15" s="1635"/>
      <c r="X15" s="1635"/>
      <c r="Y15" s="1636"/>
      <c r="Z15" s="1622"/>
      <c r="AA15" s="1637"/>
      <c r="AB15" s="1623"/>
    </row>
    <row r="16" spans="1:28" ht="95.25" customHeight="1">
      <c r="A16" s="1612"/>
      <c r="B16" s="2112"/>
      <c r="C16" s="2113"/>
      <c r="D16" s="2113"/>
      <c r="E16" s="2113"/>
      <c r="F16" s="2113"/>
      <c r="G16" s="2113"/>
      <c r="H16" s="2113"/>
      <c r="I16" s="2113"/>
      <c r="J16" s="2113"/>
      <c r="K16" s="2113"/>
      <c r="L16" s="2113"/>
      <c r="M16" s="2113"/>
      <c r="N16" s="2113"/>
      <c r="O16" s="2113"/>
      <c r="P16" s="2113"/>
      <c r="Q16" s="2113"/>
      <c r="R16" s="2113"/>
      <c r="S16" s="2113"/>
      <c r="T16" s="2113"/>
      <c r="U16" s="2113"/>
      <c r="V16" s="2113"/>
      <c r="W16" s="2113"/>
      <c r="X16" s="2113"/>
      <c r="Y16" s="2113"/>
      <c r="Z16" s="1612"/>
      <c r="AA16" s="1614"/>
      <c r="AB16" s="1612"/>
    </row>
    <row r="17" spans="1:28" ht="14.25" customHeight="1">
      <c r="A17" s="1612"/>
      <c r="B17" s="1612"/>
      <c r="C17" s="1612"/>
      <c r="D17" s="1612"/>
      <c r="E17" s="1612"/>
      <c r="F17" s="1612"/>
      <c r="G17" s="1612"/>
      <c r="H17" s="1612"/>
      <c r="I17" s="1612"/>
      <c r="J17" s="1612"/>
      <c r="K17" s="1612"/>
      <c r="L17" s="1612"/>
      <c r="M17" s="1612"/>
      <c r="N17" s="1612"/>
      <c r="O17" s="1612"/>
      <c r="P17" s="1612"/>
      <c r="Q17" s="1612"/>
      <c r="R17" s="1612"/>
      <c r="S17" s="1612"/>
      <c r="T17" s="1612"/>
      <c r="U17" s="1612"/>
      <c r="V17" s="1612"/>
      <c r="W17" s="1612"/>
      <c r="X17" s="1612"/>
      <c r="Y17" s="1613"/>
      <c r="Z17" s="1612"/>
      <c r="AA17" s="1614"/>
      <c r="AB17" s="1612"/>
    </row>
    <row r="18" spans="1:28" ht="14.25" customHeight="1">
      <c r="A18" s="1612"/>
      <c r="B18" s="1612"/>
      <c r="C18" s="1612"/>
      <c r="D18" s="1612"/>
      <c r="E18" s="1612"/>
      <c r="F18" s="1612"/>
      <c r="G18" s="1612"/>
      <c r="H18" s="1612"/>
      <c r="I18" s="1612"/>
      <c r="J18" s="1612"/>
      <c r="K18" s="1612"/>
      <c r="L18" s="1612"/>
      <c r="M18" s="1612"/>
      <c r="N18" s="1612"/>
      <c r="O18" s="1612"/>
      <c r="P18" s="1612"/>
      <c r="Q18" s="1612"/>
      <c r="R18" s="1612"/>
      <c r="S18" s="1612"/>
      <c r="T18" s="1612"/>
      <c r="U18" s="1612"/>
      <c r="V18" s="1612"/>
      <c r="W18" s="1612"/>
      <c r="X18" s="1612"/>
      <c r="Y18" s="1613"/>
      <c r="Z18" s="1612"/>
      <c r="AA18" s="1614"/>
      <c r="AB18" s="1612"/>
    </row>
    <row r="19" spans="1:28" ht="14.25" customHeight="1">
      <c r="A19" s="1612"/>
      <c r="B19" s="1612"/>
      <c r="C19" s="1612"/>
      <c r="D19" s="1612"/>
      <c r="E19" s="1612"/>
      <c r="F19" s="1612"/>
      <c r="G19" s="1612"/>
      <c r="H19" s="1612"/>
      <c r="I19" s="1612"/>
      <c r="J19" s="1612"/>
      <c r="K19" s="1612"/>
      <c r="L19" s="1612"/>
      <c r="M19" s="1612"/>
      <c r="N19" s="1612"/>
      <c r="O19" s="1612"/>
      <c r="P19" s="1612"/>
      <c r="Q19" s="1612"/>
      <c r="R19" s="1612"/>
      <c r="S19" s="1612"/>
      <c r="T19" s="1612"/>
      <c r="U19" s="1612"/>
      <c r="V19" s="1612"/>
      <c r="W19" s="1612"/>
      <c r="X19" s="1612"/>
      <c r="Y19" s="1613"/>
      <c r="Z19" s="1612"/>
      <c r="AA19" s="1614"/>
      <c r="AB19" s="1612"/>
    </row>
    <row r="20" spans="1:28" ht="14.25" customHeight="1">
      <c r="A20" s="1612"/>
      <c r="B20" s="1612"/>
      <c r="C20" s="1612"/>
      <c r="D20" s="1612"/>
      <c r="E20" s="1612"/>
      <c r="F20" s="1612"/>
      <c r="G20" s="1612"/>
      <c r="H20" s="1612"/>
      <c r="I20" s="1612"/>
      <c r="J20" s="1612"/>
      <c r="K20" s="1612"/>
      <c r="L20" s="1612"/>
      <c r="M20" s="1612"/>
      <c r="N20" s="1612"/>
      <c r="O20" s="1612"/>
      <c r="P20" s="1612"/>
      <c r="Q20" s="1612"/>
      <c r="R20" s="1612"/>
      <c r="S20" s="1612"/>
      <c r="T20" s="1612"/>
      <c r="U20" s="1612"/>
      <c r="V20" s="1612"/>
      <c r="W20" s="1612"/>
      <c r="X20" s="1612"/>
      <c r="Y20" s="1613"/>
      <c r="Z20" s="1612"/>
      <c r="AA20" s="1614"/>
      <c r="AB20" s="1612"/>
    </row>
    <row r="21" spans="1:28" ht="14.25" customHeight="1">
      <c r="A21" s="1612"/>
      <c r="B21" s="1612"/>
      <c r="C21" s="1612"/>
      <c r="D21" s="1612"/>
      <c r="E21" s="1612"/>
      <c r="F21" s="1612"/>
      <c r="G21" s="1612"/>
      <c r="H21" s="1612"/>
      <c r="I21" s="1612"/>
      <c r="J21" s="1612"/>
      <c r="K21" s="1612"/>
      <c r="L21" s="1612"/>
      <c r="M21" s="1612"/>
      <c r="N21" s="1612"/>
      <c r="O21" s="1612"/>
      <c r="P21" s="1612"/>
      <c r="Q21" s="1612"/>
      <c r="R21" s="1612"/>
      <c r="S21" s="1612"/>
      <c r="T21" s="1612"/>
      <c r="U21" s="1612"/>
      <c r="V21" s="1612"/>
      <c r="W21" s="1612"/>
      <c r="X21" s="1612"/>
      <c r="Y21" s="1613"/>
      <c r="Z21" s="1612"/>
      <c r="AA21" s="1614"/>
      <c r="AB21" s="1612"/>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16AF3-34D4-8FCF-CE88-DAD0EFFC7D1C}">
  <sheetPr>
    <tabColor theme="3" tint="0.59999389629810485"/>
  </sheetPr>
  <dimension ref="A1:V18"/>
  <sheetViews>
    <sheetView showGridLines="0" topLeftCell="D3" zoomScale="90" workbookViewId="0"/>
  </sheetViews>
  <sheetFormatPr defaultColWidth="10.5703125" defaultRowHeight="14.25" customHeight="1"/>
  <cols>
    <col min="1" max="1" width="9.140625" style="1920" hidden="1" customWidth="1"/>
    <col min="2" max="2" width="9.140625" style="1919" hidden="1" customWidth="1"/>
    <col min="3" max="3" width="9.140625" style="1823" hidden="1" customWidth="1"/>
    <col min="4" max="4" width="3.7109375" style="1921" customWidth="1"/>
    <col min="5" max="5" width="6.28515625" style="1919" customWidth="1"/>
    <col min="6" max="6" width="1.7109375" style="1823" hidden="1" customWidth="1"/>
    <col min="7" max="8" width="30.7109375" style="1919" customWidth="1"/>
    <col min="9" max="9" width="9" style="1919" customWidth="1"/>
    <col min="10" max="10" width="12.140625" style="1919" customWidth="1"/>
    <col min="11" max="11" width="46.7109375" style="1919" customWidth="1"/>
    <col min="12" max="12" width="100.28515625" style="1919" customWidth="1"/>
    <col min="13" max="13" width="7.5703125" style="1923" customWidth="1"/>
    <col min="14" max="22" width="10.5703125" style="1919"/>
  </cols>
  <sheetData>
    <row r="1" spans="1:22" s="1918" customFormat="1" ht="5.25" hidden="1" customHeight="1">
      <c r="C1" s="437"/>
      <c r="D1" s="420"/>
      <c r="F1" s="437"/>
      <c r="G1" s="415" t="s">
        <v>82</v>
      </c>
      <c r="H1" s="415" t="s">
        <v>83</v>
      </c>
      <c r="I1" s="415" t="s">
        <v>84</v>
      </c>
      <c r="P1" s="415" t="s">
        <v>82</v>
      </c>
      <c r="Q1" s="415" t="s">
        <v>83</v>
      </c>
      <c r="R1" s="415" t="s">
        <v>84</v>
      </c>
    </row>
    <row r="2" spans="1:22" s="1918" customFormat="1" ht="5.25" hidden="1" customHeight="1">
      <c r="C2" s="437"/>
      <c r="D2" s="420"/>
      <c r="F2" s="437"/>
    </row>
    <row r="3" spans="1:22" s="1917" customFormat="1" ht="6" customHeight="1">
      <c r="A3" s="405"/>
      <c r="D3" s="412"/>
      <c r="E3" s="407"/>
      <c r="F3" s="407"/>
      <c r="G3" s="407"/>
      <c r="H3" s="407"/>
      <c r="I3" s="408"/>
      <c r="J3" s="409"/>
      <c r="K3" s="409"/>
      <c r="L3" s="409"/>
    </row>
    <row r="4" spans="1:22" ht="22.5" customHeight="1">
      <c r="D4" s="381"/>
      <c r="E4" s="2136" t="s">
        <v>379</v>
      </c>
      <c r="F4" s="2136"/>
      <c r="G4" s="2137"/>
      <c r="H4" s="2137"/>
      <c r="I4" s="2138"/>
      <c r="J4" s="417"/>
      <c r="K4" s="383"/>
      <c r="L4" s="383"/>
    </row>
    <row r="5" spans="1:22" s="1823" customFormat="1" ht="17.25" customHeight="1">
      <c r="A5" s="676"/>
      <c r="D5" s="739"/>
      <c r="E5" s="2234" t="str">
        <f>IF(org=0,"Не определено",org)</f>
        <v>ПАО "Юнипро"</v>
      </c>
      <c r="F5" s="2234"/>
      <c r="G5" s="2235"/>
      <c r="H5" s="2235"/>
      <c r="I5" s="2236"/>
      <c r="J5" s="417"/>
      <c r="K5" s="383"/>
      <c r="L5" s="383"/>
      <c r="M5" s="433"/>
    </row>
    <row r="6" spans="1:22" s="1917" customFormat="1" ht="11.25" customHeight="1">
      <c r="A6" s="405"/>
      <c r="D6" s="412"/>
      <c r="E6" s="407"/>
      <c r="F6" s="407"/>
      <c r="G6" s="410"/>
      <c r="H6" s="410"/>
      <c r="I6" s="411"/>
      <c r="J6" s="411"/>
      <c r="K6" s="669"/>
      <c r="L6" s="411"/>
    </row>
    <row r="7" spans="1:22" ht="14.25" customHeight="1">
      <c r="D7" s="381"/>
      <c r="E7" s="2228" t="s">
        <v>289</v>
      </c>
      <c r="F7" s="2228"/>
      <c r="G7" s="2229"/>
      <c r="H7" s="2229"/>
      <c r="I7" s="2229"/>
      <c r="J7" s="2229"/>
      <c r="K7" s="2229"/>
      <c r="L7" s="2171" t="s">
        <v>290</v>
      </c>
    </row>
    <row r="8" spans="1:22" ht="45" customHeight="1">
      <c r="D8" s="381"/>
      <c r="E8" s="400" t="s">
        <v>87</v>
      </c>
      <c r="F8" s="740"/>
      <c r="G8" s="392" t="s">
        <v>85</v>
      </c>
      <c r="H8" s="392" t="s">
        <v>86</v>
      </c>
      <c r="I8" s="348" t="s">
        <v>84</v>
      </c>
      <c r="J8" s="348" t="s">
        <v>380</v>
      </c>
      <c r="K8" s="348" t="s">
        <v>381</v>
      </c>
      <c r="L8" s="2171"/>
    </row>
    <row r="9" spans="1:22" ht="12" hidden="1" customHeight="1">
      <c r="D9" s="413"/>
      <c r="E9" s="419"/>
      <c r="F9" s="747"/>
      <c r="G9" s="419"/>
      <c r="H9" s="419"/>
      <c r="I9" s="419"/>
      <c r="J9" s="419"/>
      <c r="K9" s="419"/>
      <c r="L9" s="419"/>
      <c r="M9" s="379"/>
    </row>
    <row r="10" spans="1:22" ht="14.25" hidden="1" customHeight="1">
      <c r="A10" s="431"/>
      <c r="B10" s="431"/>
      <c r="D10" s="432"/>
      <c r="E10" s="438">
        <v>0</v>
      </c>
      <c r="F10" s="738"/>
      <c r="G10" s="434"/>
      <c r="H10" s="434"/>
      <c r="I10" s="434"/>
      <c r="J10" s="434"/>
      <c r="K10" s="434"/>
      <c r="L10" s="2241" t="s">
        <v>382</v>
      </c>
      <c r="M10" s="433"/>
      <c r="N10" s="431"/>
      <c r="O10" s="431"/>
      <c r="P10" s="431"/>
      <c r="Q10" s="431"/>
      <c r="R10" s="431"/>
      <c r="S10" s="431"/>
      <c r="T10" s="431"/>
      <c r="U10" s="431"/>
      <c r="V10" s="431"/>
    </row>
    <row r="11" spans="1:22" ht="15" hidden="1" customHeight="1">
      <c r="A11" s="2118"/>
      <c r="B11" s="430"/>
      <c r="C11" s="430"/>
      <c r="D11" s="778"/>
      <c r="E11" s="439"/>
      <c r="F11" s="439"/>
      <c r="G11" s="439"/>
      <c r="H11" s="439"/>
      <c r="I11" s="440"/>
      <c r="J11" s="441"/>
      <c r="K11" s="632"/>
      <c r="L11" s="2255"/>
      <c r="M11" s="437"/>
      <c r="N11" s="437"/>
      <c r="O11" s="437"/>
      <c r="P11" s="442"/>
      <c r="Q11" s="442"/>
      <c r="R11" s="443"/>
      <c r="S11" s="437"/>
      <c r="T11" s="437"/>
      <c r="U11" s="437"/>
      <c r="V11" s="437"/>
    </row>
    <row r="12" spans="1:22" s="1917" customFormat="1" ht="14.25" customHeight="1">
      <c r="A12" s="2118"/>
      <c r="B12" s="430"/>
      <c r="C12" s="430"/>
      <c r="D12" s="779"/>
      <c r="E12" s="740">
        <v>1</v>
      </c>
      <c r="F12" s="777">
        <v>23</v>
      </c>
      <c r="G12" s="776"/>
      <c r="H12" s="710"/>
      <c r="I12" s="708"/>
      <c r="J12" s="446" t="s">
        <v>61</v>
      </c>
      <c r="K12" s="1064" t="s">
        <v>24</v>
      </c>
      <c r="L12" s="2255"/>
      <c r="M12" s="437"/>
      <c r="N12" s="437"/>
      <c r="O12" s="437"/>
      <c r="P12" s="442" t="s">
        <v>383</v>
      </c>
      <c r="Q12" s="442" t="s">
        <v>384</v>
      </c>
      <c r="R12" s="443" t="s">
        <v>385</v>
      </c>
      <c r="S12" s="437" t="s">
        <v>386</v>
      </c>
      <c r="T12" s="437"/>
      <c r="U12" s="437"/>
      <c r="V12" s="437"/>
    </row>
    <row r="13" spans="1:22" ht="15" customHeight="1">
      <c r="A13" s="2118"/>
      <c r="B13" s="431"/>
      <c r="D13" s="432"/>
      <c r="E13" s="339"/>
      <c r="F13" s="455"/>
      <c r="G13" s="350" t="s">
        <v>101</v>
      </c>
      <c r="H13" s="338"/>
      <c r="I13" s="338"/>
      <c r="J13" s="338"/>
      <c r="K13" s="337"/>
      <c r="L13" s="2242"/>
      <c r="M13" s="435"/>
      <c r="N13" s="431"/>
      <c r="O13" s="431"/>
      <c r="P13" s="431"/>
      <c r="Q13" s="431"/>
      <c r="R13" s="431"/>
      <c r="S13" s="431"/>
      <c r="T13" s="431"/>
      <c r="U13" s="431"/>
      <c r="V13" s="431"/>
    </row>
    <row r="14" spans="1:22" ht="11.25" customHeight="1">
      <c r="A14" s="405"/>
      <c r="B14" s="406"/>
      <c r="C14" s="406"/>
      <c r="D14" s="421"/>
      <c r="E14" s="406"/>
      <c r="F14" s="406"/>
      <c r="G14" s="406"/>
      <c r="H14" s="406"/>
      <c r="I14" s="406"/>
      <c r="J14" s="406"/>
      <c r="K14" s="406"/>
      <c r="L14" s="406"/>
      <c r="M14" s="406"/>
      <c r="N14" s="406"/>
      <c r="O14" s="406"/>
      <c r="P14" s="406"/>
      <c r="Q14" s="406"/>
      <c r="R14" s="406"/>
      <c r="S14" s="406"/>
      <c r="T14" s="406"/>
      <c r="U14" s="406"/>
      <c r="V14" s="406"/>
    </row>
    <row r="15" spans="1:22" ht="14.25" customHeight="1">
      <c r="D15" s="393"/>
      <c r="E15" s="262"/>
      <c r="F15" s="262"/>
      <c r="G15" s="58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393"/>
      <c r="I15" s="393"/>
      <c r="J15" s="393"/>
      <c r="K15" s="393"/>
      <c r="L15" s="393"/>
    </row>
    <row r="18" spans="7:7" ht="14.25" customHeight="1">
      <c r="G18" s="431"/>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46AF8-9798-B491-937E-F0C90CA576FD}">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2" style="1931" hidden="1" customWidth="1"/>
    <col min="10" max="10" width="9.85546875" style="1931" hidden="1" customWidth="1"/>
    <col min="11" max="11" width="11.42578125" style="1931" hidden="1" customWidth="1"/>
    <col min="12" max="12" width="19.140625" style="1932" hidden="1" customWidth="1"/>
    <col min="13" max="14" width="12.28515625" style="1933" hidden="1" customWidth="1"/>
    <col min="15" max="15" width="23.42578125" style="1933" hidden="1" customWidth="1"/>
    <col min="16" max="16" width="3.7109375" style="1938" customWidth="1"/>
    <col min="17" max="18" width="3.7109375" style="1939" customWidth="1"/>
    <col min="19" max="19" width="12.7109375" style="1940" customWidth="1"/>
    <col min="20" max="20" width="35.7109375" style="1905" customWidth="1"/>
    <col min="21" max="21" width="0.140625" style="1905" customWidth="1"/>
    <col min="22" max="22" width="24.7109375" style="1905" hidden="1" customWidth="1"/>
    <col min="23" max="23" width="0.140625" style="1905" hidden="1" customWidth="1"/>
    <col min="24" max="25" width="24.7109375" style="1905" hidden="1" customWidth="1"/>
    <col min="26" max="26" width="11.7109375" style="1905" hidden="1" customWidth="1"/>
    <col min="27" max="27" width="3.7109375" style="1905" hidden="1" customWidth="1"/>
    <col min="28" max="28" width="11.7109375" style="1905" hidden="1" customWidth="1"/>
    <col min="29" max="29" width="8.5703125" style="1905" hidden="1" customWidth="1"/>
    <col min="30" max="30" width="24.7109375" style="1905" customWidth="1"/>
    <col min="31" max="31" width="0.140625" style="1905" customWidth="1"/>
    <col min="32" max="33" width="24.7109375" style="1905" customWidth="1"/>
    <col min="34" max="34" width="11.7109375" style="1905" customWidth="1"/>
    <col min="35" max="35" width="3.7109375" style="1905" customWidth="1"/>
    <col min="36" max="36" width="11.7109375" style="1905" customWidth="1"/>
    <col min="37" max="37" width="8.5703125" style="1905" hidden="1" customWidth="1"/>
    <col min="38" max="38" width="4.7109375" style="1905" customWidth="1"/>
    <col min="39" max="39" width="115.7109375" style="1905" customWidth="1"/>
    <col min="40" max="41" width="10.5703125" style="1820"/>
    <col min="42" max="42" width="11.140625" style="1820" customWidth="1"/>
    <col min="43" max="44" width="10.5703125" style="1820"/>
  </cols>
  <sheetData>
    <row r="1" spans="1:44" ht="14.25" hidden="1" customHeight="1">
      <c r="Y1" s="253"/>
      <c r="Z1" s="253"/>
      <c r="AG1" s="253"/>
      <c r="AH1" s="253"/>
    </row>
    <row r="2" spans="1:44" ht="21" hidden="1" customHeight="1">
      <c r="A2" s="1279"/>
      <c r="B2" s="1279"/>
      <c r="C2" s="1279"/>
      <c r="D2" s="1279"/>
      <c r="E2" s="2270">
        <v>1</v>
      </c>
      <c r="F2" s="1279"/>
      <c r="G2" s="1279"/>
      <c r="H2" s="1279"/>
      <c r="I2" s="1279"/>
      <c r="J2" s="1279"/>
      <c r="K2" s="1279"/>
      <c r="L2" s="1280"/>
      <c r="M2" s="1281"/>
      <c r="N2" s="1281"/>
      <c r="O2" s="1281"/>
      <c r="P2" s="286"/>
      <c r="Q2" s="285"/>
      <c r="R2" s="280"/>
      <c r="S2" s="1227" t="e">
        <f>INDEX(PT_DIFFERENTIATION_NUM_NTAR,MATCH(A2,PT_DIFFERENTIATION_NTAR_ID,0))</f>
        <v>#N/A</v>
      </c>
      <c r="T2" s="216" t="s">
        <v>122</v>
      </c>
      <c r="U2" s="218"/>
      <c r="V2" s="2256"/>
      <c r="W2" s="2257"/>
      <c r="X2" s="2257"/>
      <c r="Y2" s="2257"/>
      <c r="Z2" s="2257"/>
      <c r="AA2" s="2257"/>
      <c r="AB2" s="2257"/>
      <c r="AC2" s="2258"/>
      <c r="AD2" s="2256" t="e">
        <f>INDEX(PT_DIFFERENTIATION_NTAR,MATCH(A2,PT_DIFFERENTIATION_NTAR_ID,0))</f>
        <v>#N/A</v>
      </c>
      <c r="AE2" s="2257"/>
      <c r="AF2" s="2257"/>
      <c r="AG2" s="2257"/>
      <c r="AH2" s="2257"/>
      <c r="AI2" s="2257"/>
      <c r="AJ2" s="2257"/>
      <c r="AK2" s="2257"/>
      <c r="AL2" s="2258"/>
      <c r="AM2" s="1177" t="s">
        <v>387</v>
      </c>
      <c r="AO2" s="426"/>
      <c r="AP2" s="426" t="str">
        <f t="shared" ref="AP2:AP15" si="0">IF(T2="","",T2)</f>
        <v>Наименование тарифа</v>
      </c>
      <c r="AQ2" s="426"/>
      <c r="AR2" s="426"/>
    </row>
    <row r="3" spans="1:44" ht="21" hidden="1" customHeight="1">
      <c r="A3" s="1279"/>
      <c r="B3" s="1279"/>
      <c r="C3" s="1279"/>
      <c r="D3" s="1279"/>
      <c r="E3" s="2271"/>
      <c r="F3" s="2270">
        <v>1</v>
      </c>
      <c r="G3" s="1279"/>
      <c r="H3" s="1279"/>
      <c r="I3" s="1279"/>
      <c r="J3" s="1279"/>
      <c r="K3" s="1279"/>
      <c r="L3" s="1280"/>
      <c r="M3" s="1281"/>
      <c r="N3" s="1281"/>
      <c r="O3" s="1281"/>
      <c r="P3" s="1223"/>
      <c r="Q3" s="277"/>
      <c r="R3" s="278"/>
      <c r="S3" s="1227" t="e">
        <f>INDEX(PT_DIFFERENTIATION_NUM_TER,MATCH(B3,PT_DIFFERENTIATION_TER_ID,0))</f>
        <v>#N/A</v>
      </c>
      <c r="T3" s="228" t="s">
        <v>388</v>
      </c>
      <c r="U3" s="218"/>
      <c r="V3" s="2256"/>
      <c r="W3" s="2257"/>
      <c r="X3" s="2257"/>
      <c r="Y3" s="2257"/>
      <c r="Z3" s="2257"/>
      <c r="AA3" s="2257"/>
      <c r="AB3" s="2257"/>
      <c r="AC3" s="2258"/>
      <c r="AD3" s="2256" t="e">
        <f>INDEX(PT_DIFFERENTIATION_TER,MATCH(B3,PT_DIFFERENTIATION_TER_ID,0))</f>
        <v>#N/A</v>
      </c>
      <c r="AE3" s="2257"/>
      <c r="AF3" s="2257"/>
      <c r="AG3" s="2257"/>
      <c r="AH3" s="2257"/>
      <c r="AI3" s="2257"/>
      <c r="AJ3" s="2257"/>
      <c r="AK3" s="2257"/>
      <c r="AL3" s="2258"/>
      <c r="AM3" s="1177" t="s">
        <v>389</v>
      </c>
      <c r="AO3" s="426"/>
      <c r="AP3" s="426" t="str">
        <f t="shared" si="0"/>
        <v>Территория действия тарифа</v>
      </c>
      <c r="AQ3" s="426"/>
      <c r="AR3" s="426"/>
    </row>
    <row r="4" spans="1:44" ht="23.25" hidden="1" customHeight="1">
      <c r="A4" s="1279"/>
      <c r="B4" s="1279"/>
      <c r="C4" s="1279"/>
      <c r="D4" s="1279"/>
      <c r="E4" s="2271"/>
      <c r="F4" s="2271"/>
      <c r="G4" s="2270">
        <v>1</v>
      </c>
      <c r="H4" s="1279"/>
      <c r="I4" s="1279"/>
      <c r="J4" s="1279"/>
      <c r="K4" s="1279"/>
      <c r="L4" s="1280"/>
      <c r="M4" s="1281"/>
      <c r="N4" s="1281"/>
      <c r="O4" s="1281"/>
      <c r="P4" s="279"/>
      <c r="Q4" s="277"/>
      <c r="R4" s="278"/>
      <c r="S4" s="1227" t="e">
        <f>INDEX(PT_DIFFERENTIATION_NUM_CS,MATCH(C4,PT_DIFFERENTIATION_CS_ID,0))</f>
        <v>#N/A</v>
      </c>
      <c r="T4" s="229" t="s">
        <v>390</v>
      </c>
      <c r="U4" s="218"/>
      <c r="V4" s="2256"/>
      <c r="W4" s="2257"/>
      <c r="X4" s="2257"/>
      <c r="Y4" s="2257"/>
      <c r="Z4" s="2257"/>
      <c r="AA4" s="2257"/>
      <c r="AB4" s="2257"/>
      <c r="AC4" s="2258"/>
      <c r="AD4" s="2256" t="e">
        <f>INDEX(PT_DIFFERENTIATION_CS,MATCH(C4,PT_DIFFERENTIATION_CS_ID,0))</f>
        <v>#N/A</v>
      </c>
      <c r="AE4" s="2257"/>
      <c r="AF4" s="2257"/>
      <c r="AG4" s="2257"/>
      <c r="AH4" s="2257"/>
      <c r="AI4" s="2257"/>
      <c r="AJ4" s="2257"/>
      <c r="AK4" s="2257"/>
      <c r="AL4" s="2258"/>
      <c r="AM4" s="1177" t="s">
        <v>391</v>
      </c>
      <c r="AO4" s="426"/>
      <c r="AP4" s="426" t="str">
        <f t="shared" si="0"/>
        <v xml:space="preserve">Наименование системы теплоснабжения </v>
      </c>
      <c r="AQ4" s="426"/>
      <c r="AR4" s="426"/>
    </row>
    <row r="5" spans="1:44" ht="21" hidden="1" customHeight="1">
      <c r="A5" s="1279"/>
      <c r="B5" s="1279"/>
      <c r="C5" s="1279"/>
      <c r="D5" s="1279"/>
      <c r="E5" s="2271"/>
      <c r="F5" s="2271"/>
      <c r="G5" s="2271"/>
      <c r="H5" s="2270">
        <v>1</v>
      </c>
      <c r="I5" s="1279"/>
      <c r="J5" s="1279"/>
      <c r="K5" s="1279"/>
      <c r="L5" s="1280"/>
      <c r="M5" s="1281"/>
      <c r="N5" s="1281"/>
      <c r="O5" s="1281"/>
      <c r="P5" s="279"/>
      <c r="Q5" s="277"/>
      <c r="R5" s="278"/>
      <c r="S5" s="1227" t="e">
        <f>INDEX(PT_DIFFERENTIATION_NUM_IST_TE,MATCH(D5,PT_DIFFERENTIATION_IST_TE_ID,0))</f>
        <v>#N/A</v>
      </c>
      <c r="T5" s="230" t="s">
        <v>392</v>
      </c>
      <c r="U5" s="218"/>
      <c r="V5" s="2256"/>
      <c r="W5" s="2257"/>
      <c r="X5" s="2257"/>
      <c r="Y5" s="2257"/>
      <c r="Z5" s="2257"/>
      <c r="AA5" s="2257"/>
      <c r="AB5" s="2257"/>
      <c r="AC5" s="2258"/>
      <c r="AD5" s="2256" t="e">
        <f>INDEX(PT_DIFFERENTIATION_IST_TE,MATCH(D5,PT_DIFFERENTIATION_IST_TE_ID,0))</f>
        <v>#N/A</v>
      </c>
      <c r="AE5" s="2257"/>
      <c r="AF5" s="2257"/>
      <c r="AG5" s="2257"/>
      <c r="AH5" s="2257"/>
      <c r="AI5" s="2257"/>
      <c r="AJ5" s="2257"/>
      <c r="AK5" s="2257"/>
      <c r="AL5" s="2258"/>
      <c r="AM5" s="1177" t="s">
        <v>393</v>
      </c>
      <c r="AO5" s="426"/>
      <c r="AP5" s="426" t="str">
        <f t="shared" si="0"/>
        <v xml:space="preserve">Источник тепловой энергии  </v>
      </c>
      <c r="AQ5" s="426"/>
      <c r="AR5" s="426"/>
    </row>
    <row r="6" spans="1:44" ht="47.25" hidden="1" customHeight="1">
      <c r="A6" s="1279"/>
      <c r="B6" s="1279"/>
      <c r="C6" s="1279"/>
      <c r="D6" s="1279"/>
      <c r="E6" s="2271"/>
      <c r="F6" s="2271"/>
      <c r="G6" s="2271"/>
      <c r="H6" s="2271"/>
      <c r="I6" s="2268" t="e">
        <f>S5&amp;".1"</f>
        <v>#N/A</v>
      </c>
      <c r="J6" s="1279"/>
      <c r="K6" s="1279"/>
      <c r="L6" s="1280" t="s">
        <v>394</v>
      </c>
      <c r="M6" s="462"/>
      <c r="P6" s="2269">
        <v>1</v>
      </c>
      <c r="Q6" s="1224"/>
      <c r="R6" s="281"/>
      <c r="S6" s="1227" t="e">
        <f>$I6</f>
        <v>#N/A</v>
      </c>
      <c r="T6" s="203" t="s">
        <v>395</v>
      </c>
      <c r="U6" s="218"/>
      <c r="V6" s="2259"/>
      <c r="W6" s="2260"/>
      <c r="X6" s="2260"/>
      <c r="Y6" s="2260"/>
      <c r="Z6" s="2260"/>
      <c r="AA6" s="2260"/>
      <c r="AB6" s="2260"/>
      <c r="AC6" s="2261"/>
      <c r="AD6" s="2259"/>
      <c r="AE6" s="2260"/>
      <c r="AF6" s="2260"/>
      <c r="AG6" s="2260"/>
      <c r="AH6" s="2260"/>
      <c r="AI6" s="2260"/>
      <c r="AJ6" s="2260"/>
      <c r="AK6" s="2260"/>
      <c r="AL6" s="2261"/>
      <c r="AM6" s="1177" t="s">
        <v>396</v>
      </c>
      <c r="AO6" s="426"/>
      <c r="AP6" s="426" t="str">
        <f t="shared" si="0"/>
        <v>Схема подключения теплопотребляющей установки к коллектору источника тепловой энергии</v>
      </c>
      <c r="AQ6" s="426"/>
      <c r="AR6" s="426"/>
    </row>
    <row r="7" spans="1:44" ht="21" hidden="1" customHeight="1">
      <c r="A7" s="1279"/>
      <c r="B7" s="1279"/>
      <c r="C7" s="1279"/>
      <c r="D7" s="1279"/>
      <c r="E7" s="2271"/>
      <c r="F7" s="2271"/>
      <c r="G7" s="2271"/>
      <c r="H7" s="2271"/>
      <c r="I7" s="2291"/>
      <c r="J7" s="2268" t="e">
        <f>I6&amp;".1"</f>
        <v>#N/A</v>
      </c>
      <c r="K7" s="1279"/>
      <c r="L7" s="1280" t="s">
        <v>397</v>
      </c>
      <c r="M7" s="462"/>
      <c r="N7" s="1282"/>
      <c r="P7" s="2269"/>
      <c r="Q7" s="2269">
        <v>1</v>
      </c>
      <c r="R7" s="282"/>
      <c r="S7" s="1227" t="e">
        <f>$J7</f>
        <v>#N/A</v>
      </c>
      <c r="T7" s="204" t="s">
        <v>398</v>
      </c>
      <c r="U7" s="218"/>
      <c r="V7" s="2259"/>
      <c r="W7" s="2260"/>
      <c r="X7" s="2260"/>
      <c r="Y7" s="2260"/>
      <c r="Z7" s="2260"/>
      <c r="AA7" s="2260"/>
      <c r="AB7" s="2260"/>
      <c r="AC7" s="2261"/>
      <c r="AD7" s="2259"/>
      <c r="AE7" s="2260"/>
      <c r="AF7" s="2260"/>
      <c r="AG7" s="2260"/>
      <c r="AH7" s="2260"/>
      <c r="AI7" s="2260"/>
      <c r="AJ7" s="2260"/>
      <c r="AK7" s="2260"/>
      <c r="AL7" s="2261"/>
      <c r="AM7" s="1177" t="s">
        <v>399</v>
      </c>
      <c r="AO7" s="426"/>
      <c r="AP7" s="426" t="str">
        <f t="shared" si="0"/>
        <v>Группа потребителей</v>
      </c>
      <c r="AQ7" s="426"/>
      <c r="AR7" s="426"/>
    </row>
    <row r="8" spans="1:44" ht="21" hidden="1" customHeight="1">
      <c r="A8" s="1279"/>
      <c r="B8" s="1279"/>
      <c r="C8" s="1279"/>
      <c r="D8" s="1279"/>
      <c r="E8" s="2271"/>
      <c r="F8" s="2271"/>
      <c r="G8" s="2271"/>
      <c r="H8" s="2271"/>
      <c r="I8" s="2291"/>
      <c r="J8" s="2291"/>
      <c r="K8" s="2268" t="e">
        <f>J7&amp;".1"</f>
        <v>#N/A</v>
      </c>
      <c r="L8" s="1280" t="s">
        <v>400</v>
      </c>
      <c r="M8" s="462"/>
      <c r="N8" s="1282"/>
      <c r="O8" s="1282"/>
      <c r="P8" s="2269"/>
      <c r="Q8" s="2269"/>
      <c r="R8" s="282">
        <v>1</v>
      </c>
      <c r="S8" s="1227" t="e">
        <f>$K8</f>
        <v>#N/A</v>
      </c>
      <c r="T8" s="1264"/>
      <c r="U8" s="218"/>
      <c r="V8" s="668"/>
      <c r="W8" s="250"/>
      <c r="X8" s="668"/>
      <c r="Y8" s="1176"/>
      <c r="Z8" s="2273"/>
      <c r="AA8" s="2124" t="s">
        <v>61</v>
      </c>
      <c r="AB8" s="2273"/>
      <c r="AC8" s="2124" t="s">
        <v>61</v>
      </c>
      <c r="AD8" s="668"/>
      <c r="AE8" s="250"/>
      <c r="AF8" s="668"/>
      <c r="AG8" s="1176"/>
      <c r="AH8" s="2273"/>
      <c r="AI8" s="2124" t="s">
        <v>61</v>
      </c>
      <c r="AJ8" s="2273"/>
      <c r="AK8" s="2124" t="s">
        <v>61</v>
      </c>
      <c r="AL8" s="250"/>
      <c r="AM8" s="2265" t="s">
        <v>401</v>
      </c>
      <c r="AN8" s="437" t="e">
        <f ca="1">STRCHECKDATE(V9:AL9)</f>
        <v>#NAME?</v>
      </c>
      <c r="AO8" s="426"/>
      <c r="AP8" s="426" t="str">
        <f t="shared" si="0"/>
        <v/>
      </c>
      <c r="AQ8" s="426"/>
      <c r="AR8" s="426"/>
    </row>
    <row r="9" spans="1:44" ht="0.75" hidden="1" customHeight="1">
      <c r="A9" s="1279"/>
      <c r="B9" s="1279"/>
      <c r="C9" s="1279"/>
      <c r="D9" s="1279"/>
      <c r="E9" s="2271"/>
      <c r="F9" s="2271"/>
      <c r="G9" s="2271"/>
      <c r="H9" s="2271"/>
      <c r="I9" s="2291"/>
      <c r="J9" s="2291"/>
      <c r="K9" s="2268"/>
      <c r="L9" s="1280"/>
      <c r="M9" s="462"/>
      <c r="N9" s="1282"/>
      <c r="O9" s="1282"/>
      <c r="P9" s="2269"/>
      <c r="Q9" s="2269"/>
      <c r="R9" s="282"/>
      <c r="S9" s="1225"/>
      <c r="T9" s="218"/>
      <c r="U9" s="218"/>
      <c r="V9" s="250"/>
      <c r="W9" s="250"/>
      <c r="X9" s="250"/>
      <c r="Y9" s="254" t="str">
        <f>Z8&amp;"-"&amp;AB8</f>
        <v>-</v>
      </c>
      <c r="Z9" s="2274"/>
      <c r="AA9" s="2124"/>
      <c r="AB9" s="2274"/>
      <c r="AC9" s="2124"/>
      <c r="AD9" s="250"/>
      <c r="AE9" s="250"/>
      <c r="AF9" s="250"/>
      <c r="AG9" s="254" t="str">
        <f>AH8&amp;"-"&amp;AJ8</f>
        <v>-</v>
      </c>
      <c r="AH9" s="2274"/>
      <c r="AI9" s="2124"/>
      <c r="AJ9" s="2274"/>
      <c r="AK9" s="2124"/>
      <c r="AL9" s="250"/>
      <c r="AM9" s="2266"/>
      <c r="AO9" s="426"/>
      <c r="AP9" s="426" t="str">
        <f t="shared" si="0"/>
        <v/>
      </c>
      <c r="AQ9" s="426"/>
      <c r="AR9" s="426"/>
    </row>
    <row r="10" spans="1:44" ht="15" hidden="1" customHeight="1">
      <c r="A10" s="1279"/>
      <c r="B10" s="1279"/>
      <c r="C10" s="1279"/>
      <c r="D10" s="1279"/>
      <c r="E10" s="2271"/>
      <c r="F10" s="2271"/>
      <c r="G10" s="2271"/>
      <c r="H10" s="2271"/>
      <c r="I10" s="2291"/>
      <c r="J10" s="2268"/>
      <c r="K10" s="1279"/>
      <c r="L10" s="1280"/>
      <c r="M10" s="462"/>
      <c r="N10" s="1282"/>
      <c r="P10" s="2269"/>
      <c r="Q10" s="2269"/>
      <c r="R10" s="281"/>
      <c r="S10" s="1198"/>
      <c r="T10" s="206" t="s">
        <v>402</v>
      </c>
      <c r="U10" s="295"/>
      <c r="V10" s="295"/>
      <c r="W10" s="295"/>
      <c r="X10" s="295"/>
      <c r="Y10" s="295"/>
      <c r="Z10" s="295"/>
      <c r="AA10" s="295"/>
      <c r="AB10" s="295"/>
      <c r="AC10" s="295"/>
      <c r="AD10" s="295"/>
      <c r="AE10" s="295"/>
      <c r="AF10" s="295"/>
      <c r="AG10" s="295"/>
      <c r="AH10" s="295"/>
      <c r="AI10" s="295"/>
      <c r="AJ10" s="295"/>
      <c r="AK10" s="295"/>
      <c r="AL10" s="249"/>
      <c r="AM10" s="2267"/>
      <c r="AO10" s="426"/>
      <c r="AP10" s="426" t="str">
        <f t="shared" si="0"/>
        <v>Добавить вид теплоносителя (параметры теплоносителя)</v>
      </c>
      <c r="AQ10" s="426"/>
      <c r="AR10" s="426"/>
    </row>
    <row r="11" spans="1:44" ht="15" hidden="1" customHeight="1">
      <c r="A11" s="1279"/>
      <c r="B11" s="1279"/>
      <c r="C11" s="1279"/>
      <c r="D11" s="1279"/>
      <c r="E11" s="2271"/>
      <c r="F11" s="2271"/>
      <c r="G11" s="2271"/>
      <c r="H11" s="2271"/>
      <c r="I11" s="2268"/>
      <c r="J11" s="1279"/>
      <c r="K11" s="1279"/>
      <c r="L11" s="1280"/>
      <c r="M11" s="462"/>
      <c r="P11" s="2269"/>
      <c r="Q11" s="1224"/>
      <c r="R11" s="281"/>
      <c r="S11" s="1198"/>
      <c r="T11" s="205" t="s">
        <v>403</v>
      </c>
      <c r="U11" s="295"/>
      <c r="V11" s="295"/>
      <c r="W11" s="295"/>
      <c r="X11" s="295"/>
      <c r="Y11" s="295"/>
      <c r="Z11" s="295"/>
      <c r="AA11" s="295"/>
      <c r="AB11" s="295"/>
      <c r="AC11" s="294"/>
      <c r="AD11" s="295"/>
      <c r="AE11" s="295"/>
      <c r="AF11" s="295"/>
      <c r="AG11" s="295"/>
      <c r="AH11" s="295"/>
      <c r="AI11" s="295"/>
      <c r="AJ11" s="295"/>
      <c r="AK11" s="294"/>
      <c r="AL11" s="295"/>
      <c r="AM11" s="221"/>
      <c r="AO11" s="426"/>
      <c r="AP11" s="426" t="str">
        <f t="shared" si="0"/>
        <v>Добавить группу потребителей</v>
      </c>
      <c r="AQ11" s="426"/>
      <c r="AR11" s="426"/>
    </row>
    <row r="12" spans="1:44" ht="14.25" hidden="1" customHeight="1">
      <c r="A12" s="1279"/>
      <c r="B12" s="1279"/>
      <c r="C12" s="1279"/>
      <c r="D12" s="1279"/>
      <c r="E12" s="2271"/>
      <c r="F12" s="2271"/>
      <c r="G12" s="2271"/>
      <c r="H12" s="2270"/>
      <c r="I12" s="1279"/>
      <c r="J12" s="1279"/>
      <c r="K12" s="1279"/>
      <c r="L12" s="1280"/>
      <c r="M12" s="1281"/>
      <c r="N12" s="1281"/>
      <c r="O12" s="462"/>
      <c r="P12" s="285"/>
      <c r="Q12" s="304"/>
      <c r="R12" s="280"/>
      <c r="S12" s="1198"/>
      <c r="T12" s="292" t="s">
        <v>404</v>
      </c>
      <c r="U12" s="295"/>
      <c r="V12" s="295"/>
      <c r="W12" s="295"/>
      <c r="X12" s="295"/>
      <c r="Y12" s="295"/>
      <c r="Z12" s="295"/>
      <c r="AA12" s="295"/>
      <c r="AB12" s="295"/>
      <c r="AC12" s="294"/>
      <c r="AD12" s="295"/>
      <c r="AE12" s="295"/>
      <c r="AF12" s="295"/>
      <c r="AG12" s="295"/>
      <c r="AH12" s="295"/>
      <c r="AI12" s="295"/>
      <c r="AJ12" s="295"/>
      <c r="AK12" s="294"/>
      <c r="AL12" s="295"/>
      <c r="AM12" s="221"/>
      <c r="AO12" s="426"/>
      <c r="AP12" s="426" t="str">
        <f t="shared" si="0"/>
        <v>Добавить схему подключения</v>
      </c>
      <c r="AQ12" s="426"/>
      <c r="AR12" s="426"/>
    </row>
    <row r="13" spans="1:44" s="1930" customFormat="1" ht="0.75" hidden="1" customHeight="1">
      <c r="A13" s="1232"/>
      <c r="B13" s="1232"/>
      <c r="C13" s="1232"/>
      <c r="D13" s="1232"/>
      <c r="E13" s="2271"/>
      <c r="F13" s="2271"/>
      <c r="G13" s="2270"/>
      <c r="H13" s="1232"/>
      <c r="I13" s="1232"/>
      <c r="J13" s="1232"/>
      <c r="K13" s="1232"/>
      <c r="L13" s="1256"/>
      <c r="M13" s="1233"/>
      <c r="N13" s="1233"/>
      <c r="P13" s="1234"/>
      <c r="Q13" s="1235"/>
      <c r="R13" s="1234"/>
      <c r="S13" s="1236"/>
      <c r="T13" s="1237" t="s">
        <v>405</v>
      </c>
      <c r="U13" s="1238"/>
      <c r="V13" s="1238"/>
      <c r="W13" s="1238"/>
      <c r="X13" s="1238"/>
      <c r="Y13" s="1238"/>
      <c r="Z13" s="1238"/>
      <c r="AA13" s="1238"/>
      <c r="AB13" s="1238"/>
      <c r="AC13" s="1238"/>
      <c r="AD13" s="1238"/>
      <c r="AE13" s="1238"/>
      <c r="AF13" s="1238"/>
      <c r="AG13" s="1238"/>
      <c r="AH13" s="1238"/>
      <c r="AI13" s="1238"/>
      <c r="AJ13" s="1238"/>
      <c r="AK13" s="1238"/>
      <c r="AL13" s="1238"/>
      <c r="AM13" s="1238"/>
      <c r="AO13" s="706"/>
      <c r="AP13" s="706" t="str">
        <f t="shared" si="0"/>
        <v>Добавить источник для дифференциации</v>
      </c>
      <c r="AQ13" s="706"/>
      <c r="AR13" s="706"/>
    </row>
    <row r="14" spans="1:44" s="1930" customFormat="1" ht="0.75" hidden="1" customHeight="1">
      <c r="A14" s="1232"/>
      <c r="B14" s="1232"/>
      <c r="C14" s="1232"/>
      <c r="D14" s="1232"/>
      <c r="E14" s="2271"/>
      <c r="F14" s="2270"/>
      <c r="G14" s="1232"/>
      <c r="H14" s="1232"/>
      <c r="I14" s="1232"/>
      <c r="J14" s="1232"/>
      <c r="K14" s="1232"/>
      <c r="L14" s="1256"/>
      <c r="M14" s="1239"/>
      <c r="N14" s="1239"/>
      <c r="P14" s="1234"/>
      <c r="Q14" s="1235"/>
      <c r="R14" s="1234"/>
      <c r="S14" s="1240"/>
      <c r="T14" s="1241" t="s">
        <v>215</v>
      </c>
      <c r="U14" s="1242"/>
      <c r="V14" s="1242"/>
      <c r="W14" s="1242"/>
      <c r="X14" s="1242"/>
      <c r="Y14" s="1242"/>
      <c r="Z14" s="1242"/>
      <c r="AA14" s="1242"/>
      <c r="AB14" s="1242"/>
      <c r="AC14" s="1242"/>
      <c r="AD14" s="1242"/>
      <c r="AE14" s="1242"/>
      <c r="AF14" s="1242"/>
      <c r="AG14" s="1242"/>
      <c r="AH14" s="1242"/>
      <c r="AI14" s="1242"/>
      <c r="AJ14" s="1242"/>
      <c r="AK14" s="1242"/>
      <c r="AL14" s="1242"/>
      <c r="AM14" s="1242"/>
      <c r="AO14" s="706"/>
      <c r="AP14" s="706" t="str">
        <f t="shared" si="0"/>
        <v>Добавить централизованную систему для дифференциации</v>
      </c>
      <c r="AQ14" s="706"/>
      <c r="AR14" s="706"/>
    </row>
    <row r="15" spans="1:44" s="1930" customFormat="1" ht="0.75" hidden="1" customHeight="1">
      <c r="A15" s="1232"/>
      <c r="B15" s="1232"/>
      <c r="C15" s="1232"/>
      <c r="D15" s="1232"/>
      <c r="E15" s="2270"/>
      <c r="F15" s="1232"/>
      <c r="G15" s="1232"/>
      <c r="H15" s="1232"/>
      <c r="I15" s="1232"/>
      <c r="J15" s="1232"/>
      <c r="K15" s="1232"/>
      <c r="L15" s="1256"/>
      <c r="M15" s="1239"/>
      <c r="N15" s="1239"/>
      <c r="P15" s="1234"/>
      <c r="Q15" s="1235"/>
      <c r="R15" s="1234"/>
      <c r="S15" s="1240"/>
      <c r="T15" s="1243" t="s">
        <v>216</v>
      </c>
      <c r="U15" s="1242"/>
      <c r="V15" s="1242"/>
      <c r="W15" s="1242"/>
      <c r="X15" s="1242"/>
      <c r="Y15" s="1242"/>
      <c r="Z15" s="1242"/>
      <c r="AA15" s="1242"/>
      <c r="AB15" s="1242"/>
      <c r="AC15" s="1242"/>
      <c r="AD15" s="1242"/>
      <c r="AE15" s="1242"/>
      <c r="AF15" s="1242"/>
      <c r="AG15" s="1242"/>
      <c r="AH15" s="1242"/>
      <c r="AI15" s="1242"/>
      <c r="AJ15" s="1242"/>
      <c r="AK15" s="1242"/>
      <c r="AL15" s="1242"/>
      <c r="AM15" s="1242"/>
      <c r="AO15" s="706"/>
      <c r="AP15" s="706" t="str">
        <f t="shared" si="0"/>
        <v>Добавить территорию для дифференциации</v>
      </c>
      <c r="AQ15" s="706"/>
      <c r="AR15" s="706"/>
    </row>
    <row r="16" spans="1:44" ht="14.25" hidden="1" customHeight="1">
      <c r="AC16" s="253"/>
      <c r="AK16" s="253"/>
    </row>
    <row r="17" spans="1:44" ht="14.25" hidden="1" customHeight="1">
      <c r="P17" s="1229"/>
      <c r="AD17" s="1276"/>
      <c r="AE17" s="1276"/>
      <c r="AF17" s="1276"/>
      <c r="AG17" s="1277"/>
      <c r="AH17" s="2275"/>
      <c r="AI17" s="2276" t="s">
        <v>61</v>
      </c>
      <c r="AJ17" s="2275"/>
      <c r="AK17" s="2276" t="s">
        <v>61</v>
      </c>
    </row>
    <row r="18" spans="1:44" ht="14.25" hidden="1" customHeight="1">
      <c r="P18" s="1229"/>
      <c r="AD18" s="1276"/>
      <c r="AE18" s="1276"/>
      <c r="AF18" s="1276"/>
      <c r="AG18" s="254" t="str">
        <f>AH17&amp;"-"&amp;AJ17</f>
        <v>-</v>
      </c>
      <c r="AH18" s="2276"/>
      <c r="AI18" s="2276"/>
      <c r="AJ18" s="2276"/>
      <c r="AK18" s="2276"/>
    </row>
    <row r="19" spans="1:44" ht="14.25" hidden="1" customHeight="1">
      <c r="P19" s="1229"/>
      <c r="AK19" s="253"/>
    </row>
    <row r="20" spans="1:44" s="1931" customFormat="1" ht="22.5" hidden="1" customHeight="1">
      <c r="L20" s="1246"/>
      <c r="M20" s="1278"/>
      <c r="N20" s="1278"/>
      <c r="O20" s="1283" t="s">
        <v>406</v>
      </c>
      <c r="P20" s="1278"/>
      <c r="Q20" s="1287"/>
      <c r="R20" s="1287"/>
      <c r="S20" s="648"/>
      <c r="Z20" s="1283"/>
      <c r="AB20" s="1283"/>
      <c r="AC20" s="1282"/>
      <c r="AH20" s="1283"/>
      <c r="AJ20" s="1283"/>
      <c r="AK20" s="1282"/>
      <c r="AN20" s="437"/>
      <c r="AO20" s="437"/>
      <c r="AP20" s="437"/>
      <c r="AQ20" s="437"/>
      <c r="AR20" s="437"/>
    </row>
    <row r="21" spans="1:44" s="1931" customFormat="1" ht="14.25" hidden="1" customHeight="1">
      <c r="L21" s="1246"/>
      <c r="M21" s="1278"/>
      <c r="N21" s="1278"/>
      <c r="O21" s="1278"/>
      <c r="P21" s="1278"/>
      <c r="Q21" s="1287"/>
      <c r="R21" s="1287"/>
      <c r="S21" s="648"/>
      <c r="AC21" s="1282"/>
      <c r="AK21" s="1282"/>
      <c r="AN21" s="437"/>
      <c r="AO21" s="437"/>
      <c r="AP21" s="437"/>
      <c r="AQ21" s="437"/>
      <c r="AR21" s="437"/>
    </row>
    <row r="22" spans="1:44" s="1931" customFormat="1" ht="14.25" hidden="1" customHeight="1">
      <c r="L22" s="1246"/>
      <c r="M22" s="1278"/>
      <c r="N22" s="1278"/>
      <c r="O22" s="1280" t="s">
        <v>407</v>
      </c>
      <c r="P22" s="1278"/>
      <c r="Q22" s="1287"/>
      <c r="R22" s="1287"/>
      <c r="S22" s="648"/>
      <c r="T22" s="1060" t="s">
        <v>408</v>
      </c>
      <c r="AA22" s="107" t="s">
        <v>409</v>
      </c>
      <c r="AC22" s="107" t="s">
        <v>410</v>
      </c>
      <c r="AD22" s="1060" t="s">
        <v>408</v>
      </c>
      <c r="AI22" s="107" t="s">
        <v>411</v>
      </c>
      <c r="AK22" s="107" t="s">
        <v>410</v>
      </c>
      <c r="AN22" s="437"/>
      <c r="AO22" s="437"/>
      <c r="AP22" s="437"/>
      <c r="AQ22" s="437"/>
      <c r="AR22" s="437"/>
    </row>
    <row r="23" spans="1:44" ht="14.25" hidden="1" customHeight="1">
      <c r="O23" s="1280"/>
      <c r="P23" s="1229"/>
    </row>
    <row r="24" spans="1:44" ht="14.25" hidden="1" customHeight="1">
      <c r="O24" s="1280"/>
      <c r="P24" s="1229"/>
    </row>
    <row r="25" spans="1:44" ht="14.25" customHeight="1">
      <c r="Q25" s="305"/>
      <c r="R25" s="305"/>
      <c r="S25" s="1195"/>
      <c r="T25" s="290"/>
      <c r="U25" s="290"/>
      <c r="V25" s="435"/>
      <c r="W25" s="435"/>
      <c r="X25" s="435"/>
      <c r="Y25" s="435"/>
      <c r="Z25" s="435"/>
      <c r="AA25" s="435"/>
      <c r="AB25" s="435"/>
      <c r="AC25" s="435"/>
      <c r="AD25" s="435"/>
      <c r="AE25" s="435"/>
      <c r="AF25" s="435"/>
      <c r="AG25" s="435"/>
      <c r="AH25" s="435"/>
      <c r="AI25" s="435"/>
      <c r="AJ25" s="435"/>
      <c r="AK25" s="435"/>
    </row>
    <row r="26" spans="1:44" ht="14.25" customHeight="1">
      <c r="Q26" s="305"/>
      <c r="R26" s="305"/>
      <c r="S26" s="225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4"/>
      <c r="U26" s="2254"/>
      <c r="V26" s="2254"/>
      <c r="W26" s="2254"/>
      <c r="X26" s="2254"/>
      <c r="Y26" s="2254"/>
      <c r="Z26" s="2254"/>
      <c r="AA26" s="2254"/>
      <c r="AB26" s="2254"/>
      <c r="AC26" s="2254"/>
      <c r="AD26" s="2254"/>
      <c r="AE26" s="2254"/>
      <c r="AF26" s="2254"/>
      <c r="AG26" s="2254"/>
      <c r="AH26" s="2254"/>
      <c r="AI26" s="2254"/>
      <c r="AJ26" s="2254"/>
      <c r="AK26" s="1152"/>
    </row>
    <row r="27" spans="1:44" ht="14.25" customHeight="1">
      <c r="Q27" s="305"/>
      <c r="R27" s="305"/>
      <c r="S27" s="2200" t="str">
        <f>IF(org=0,"Не определено",org)</f>
        <v>ПАО "Юнипро"</v>
      </c>
      <c r="T27" s="2200"/>
      <c r="U27" s="2200"/>
      <c r="V27" s="2200"/>
      <c r="W27" s="2200"/>
      <c r="X27" s="2200"/>
      <c r="Y27" s="2200"/>
      <c r="Z27" s="2200"/>
      <c r="AA27" s="2200"/>
      <c r="AB27" s="2200"/>
      <c r="AC27" s="2200"/>
      <c r="AD27" s="2200"/>
      <c r="AE27" s="2200"/>
      <c r="AF27" s="2200"/>
      <c r="AG27" s="2200"/>
      <c r="AH27" s="2200"/>
      <c r="AI27" s="2200"/>
      <c r="AJ27" s="2200"/>
      <c r="AK27" s="1152"/>
    </row>
    <row r="28" spans="1:44" ht="14.25" customHeight="1">
      <c r="Q28" s="305"/>
      <c r="R28" s="305"/>
      <c r="S28" s="1195"/>
      <c r="T28" s="290"/>
      <c r="U28" s="290"/>
      <c r="V28" s="246"/>
      <c r="W28" s="246"/>
      <c r="X28" s="246"/>
      <c r="Y28" s="246"/>
      <c r="Z28" s="246"/>
      <c r="AA28" s="246"/>
      <c r="AB28" s="246"/>
      <c r="AC28" s="246"/>
      <c r="AD28" s="246"/>
      <c r="AE28" s="246"/>
      <c r="AF28" s="246"/>
      <c r="AG28" s="246"/>
      <c r="AH28" s="246"/>
      <c r="AI28" s="246"/>
      <c r="AJ28" s="246"/>
      <c r="AK28" s="246"/>
      <c r="AL28" s="435"/>
    </row>
    <row r="29" spans="1:44" s="1936" customFormat="1" ht="25.5" customHeight="1">
      <c r="A29" s="1284"/>
      <c r="B29" s="1284"/>
      <c r="C29" s="1284"/>
      <c r="D29" s="1284"/>
      <c r="E29" s="1284"/>
      <c r="F29" s="1284"/>
      <c r="G29" s="1284"/>
      <c r="H29" s="1284"/>
      <c r="I29" s="1284"/>
      <c r="J29" s="1284"/>
      <c r="K29" s="1284"/>
      <c r="L29" s="1285"/>
      <c r="M29" s="1284"/>
      <c r="N29" s="1284"/>
      <c r="O29" s="1284"/>
      <c r="S29" s="2262" t="s">
        <v>38</v>
      </c>
      <c r="T29" s="2262"/>
      <c r="U29" s="1288"/>
      <c r="V29" s="2263" t="str">
        <f>IF(TITLE_NAME_OR_PR_CHANGE="",IF(TITLE_NAME_OR_PR="","",TITLE_NAME_OR_PR),TITLE_NAME_OR_PR_CHANGE)</f>
        <v>Министерство тарифной политики Красноярского края</v>
      </c>
      <c r="W29" s="2263"/>
      <c r="X29" s="2263"/>
      <c r="Y29" s="2263"/>
      <c r="Z29" s="2263"/>
      <c r="AA29" s="2263"/>
      <c r="AB29" s="2263"/>
      <c r="AC29" s="252"/>
      <c r="AD29" s="2263" t="str">
        <f>IF(TITLE_NAME_OR_PR_CHANGE="",IF(TITLE_NAME_OR_PR="","",TITLE_NAME_OR_PR),TITLE_NAME_OR_PR_CHANGE)</f>
        <v>Министерство тарифной политики Красноярского края</v>
      </c>
      <c r="AE29" s="2263"/>
      <c r="AF29" s="2263"/>
      <c r="AG29" s="2263"/>
      <c r="AH29" s="2263"/>
      <c r="AI29" s="2263"/>
      <c r="AJ29" s="2263"/>
      <c r="AK29" s="252"/>
      <c r="AL29" s="252"/>
      <c r="AM29" s="199"/>
      <c r="AN29" s="296"/>
      <c r="AO29" s="296"/>
      <c r="AP29" s="296"/>
      <c r="AQ29" s="296"/>
      <c r="AR29" s="296"/>
    </row>
    <row r="30" spans="1:44" s="1936" customFormat="1" ht="18.75" customHeight="1">
      <c r="A30" s="1284"/>
      <c r="B30" s="1284"/>
      <c r="C30" s="1284"/>
      <c r="D30" s="1284"/>
      <c r="E30" s="1284"/>
      <c r="F30" s="1284"/>
      <c r="G30" s="1284"/>
      <c r="H30" s="1284"/>
      <c r="I30" s="1284"/>
      <c r="J30" s="1284"/>
      <c r="K30" s="1284"/>
      <c r="L30" s="1285"/>
      <c r="M30" s="1284"/>
      <c r="N30" s="1284"/>
      <c r="O30" s="1284"/>
      <c r="S30" s="2262" t="s">
        <v>412</v>
      </c>
      <c r="T30" s="2262"/>
      <c r="U30" s="1288"/>
      <c r="V30" s="2272">
        <f>IF(TITLE_DATE_PR_CHANGE="",IF(TITLE_DATE_PR="","",TITLE_DATE_PR),TITLE_DATE_PR_CHANGE)</f>
        <v>45278.357847222222</v>
      </c>
      <c r="W30" s="2272"/>
      <c r="X30" s="2272"/>
      <c r="Y30" s="2272"/>
      <c r="Z30" s="2272"/>
      <c r="AA30" s="2272"/>
      <c r="AB30" s="2272"/>
      <c r="AC30" s="252"/>
      <c r="AD30" s="2272">
        <f>IF(TITLE_DATE_PR_CHANGE="",IF(TITLE_DATE_PR="","",TITLE_DATE_PR),TITLE_DATE_PR_CHANGE)</f>
        <v>45278.357847222222</v>
      </c>
      <c r="AE30" s="2272"/>
      <c r="AF30" s="2272"/>
      <c r="AG30" s="2272"/>
      <c r="AH30" s="2272"/>
      <c r="AI30" s="2272"/>
      <c r="AJ30" s="2272"/>
      <c r="AK30" s="252"/>
      <c r="AL30" s="252"/>
      <c r="AM30" s="199"/>
      <c r="AN30" s="296"/>
      <c r="AO30" s="296"/>
      <c r="AP30" s="296"/>
      <c r="AQ30" s="296"/>
      <c r="AR30" s="296"/>
    </row>
    <row r="31" spans="1:44" s="1936" customFormat="1" ht="18.75" customHeight="1">
      <c r="A31" s="1284"/>
      <c r="B31" s="1284"/>
      <c r="C31" s="1284"/>
      <c r="D31" s="1284"/>
      <c r="E31" s="1284"/>
      <c r="F31" s="1284"/>
      <c r="G31" s="1284"/>
      <c r="H31" s="1284"/>
      <c r="I31" s="1284"/>
      <c r="J31" s="1284"/>
      <c r="K31" s="1284"/>
      <c r="L31" s="1285"/>
      <c r="M31" s="1284"/>
      <c r="N31" s="1284"/>
      <c r="O31" s="1284"/>
      <c r="S31" s="2262" t="s">
        <v>413</v>
      </c>
      <c r="T31" s="2262"/>
      <c r="U31" s="1288"/>
      <c r="V31" s="2263" t="str">
        <f>IF(TITLE_NUMBER_PR_CHANGE="",IF(TITLE_NUMBER_PR="","",TITLE_NUMBER_PR),TITLE_NUMBER_PR_CHANGE)</f>
        <v>924-в</v>
      </c>
      <c r="W31" s="2263"/>
      <c r="X31" s="2263"/>
      <c r="Y31" s="2263"/>
      <c r="Z31" s="2263"/>
      <c r="AA31" s="2263"/>
      <c r="AB31" s="2263"/>
      <c r="AC31" s="252"/>
      <c r="AD31" s="2263" t="str">
        <f>IF(TITLE_NUMBER_PR_CHANGE="",IF(TITLE_NUMBER_PR="","",TITLE_NUMBER_PR),TITLE_NUMBER_PR_CHANGE)</f>
        <v>924-в</v>
      </c>
      <c r="AE31" s="2263"/>
      <c r="AF31" s="2263"/>
      <c r="AG31" s="2263"/>
      <c r="AH31" s="2263"/>
      <c r="AI31" s="2263"/>
      <c r="AJ31" s="2263"/>
      <c r="AK31" s="252"/>
      <c r="AL31" s="252"/>
      <c r="AM31" s="199"/>
      <c r="AN31" s="296"/>
      <c r="AO31" s="296"/>
      <c r="AP31" s="296"/>
      <c r="AQ31" s="296"/>
      <c r="AR31" s="296"/>
    </row>
    <row r="32" spans="1:44" s="1936" customFormat="1" ht="18.75" customHeight="1">
      <c r="A32" s="1284"/>
      <c r="B32" s="1284"/>
      <c r="C32" s="1284"/>
      <c r="D32" s="1284"/>
      <c r="E32" s="1284"/>
      <c r="F32" s="1284"/>
      <c r="G32" s="1284"/>
      <c r="H32" s="1284"/>
      <c r="I32" s="1284"/>
      <c r="J32" s="1284"/>
      <c r="K32" s="1284"/>
      <c r="L32" s="1285"/>
      <c r="M32" s="1284"/>
      <c r="N32" s="1284"/>
      <c r="O32" s="1284"/>
      <c r="S32" s="2262" t="s">
        <v>40</v>
      </c>
      <c r="T32" s="2262"/>
      <c r="U32" s="1288"/>
      <c r="V32" s="2263" t="str">
        <f>IF(TITLE_IST_PUB_CHANGE="",IF(TITLE_IST_PUB="","",TITLE_IST_PUB),TITLE_IST_PUB_CHANGE)</f>
        <v>Официальный интернет-портал правовой информации Красноярского края (http://www.zakon.krskstate.ru/)</v>
      </c>
      <c r="W32" s="2263"/>
      <c r="X32" s="2263"/>
      <c r="Y32" s="2263"/>
      <c r="Z32" s="2263"/>
      <c r="AA32" s="2263"/>
      <c r="AB32" s="2263"/>
      <c r="AC32" s="252"/>
      <c r="AD32" s="2263" t="str">
        <f>IF(TITLE_IST_PUB_CHANGE="",IF(TITLE_IST_PUB="","",TITLE_IST_PUB),TITLE_IST_PUB_CHANGE)</f>
        <v>Официальный интернет-портал правовой информации Красноярского края (http://www.zakon.krskstate.ru/)</v>
      </c>
      <c r="AE32" s="2263"/>
      <c r="AF32" s="2263"/>
      <c r="AG32" s="2263"/>
      <c r="AH32" s="2263"/>
      <c r="AI32" s="2263"/>
      <c r="AJ32" s="2263"/>
      <c r="AK32" s="252"/>
      <c r="AL32" s="252"/>
      <c r="AM32" s="199"/>
      <c r="AN32" s="296"/>
      <c r="AO32" s="296"/>
      <c r="AP32" s="296"/>
      <c r="AQ32" s="296"/>
      <c r="AR32" s="296"/>
    </row>
    <row r="33" spans="1:44" ht="14.25" hidden="1" customHeight="1">
      <c r="P33" s="1245"/>
      <c r="Q33" s="305"/>
      <c r="R33" s="305"/>
      <c r="S33" s="1195"/>
      <c r="T33" s="290"/>
      <c r="U33" s="290"/>
      <c r="V33" s="246"/>
      <c r="W33" s="246"/>
      <c r="X33" s="246"/>
      <c r="Y33" s="246"/>
      <c r="Z33" s="246"/>
      <c r="AA33" s="246"/>
      <c r="AB33" s="246"/>
      <c r="AC33" s="246"/>
      <c r="AD33" s="246"/>
      <c r="AE33" s="246"/>
      <c r="AF33" s="246"/>
      <c r="AG33" s="246"/>
      <c r="AH33" s="246"/>
      <c r="AI33" s="246"/>
      <c r="AJ33" s="246"/>
      <c r="AK33" s="246"/>
      <c r="AL33" s="435"/>
    </row>
    <row r="34" spans="1:44" s="1936" customFormat="1" ht="18.75" hidden="1" customHeight="1">
      <c r="A34" s="1284"/>
      <c r="B34" s="1284"/>
      <c r="C34" s="1284"/>
      <c r="D34" s="1284"/>
      <c r="E34" s="1284"/>
      <c r="F34" s="1284"/>
      <c r="G34" s="1284"/>
      <c r="H34" s="1284"/>
      <c r="I34" s="1284"/>
      <c r="J34" s="1284"/>
      <c r="K34" s="1284"/>
      <c r="L34" s="1285"/>
      <c r="M34" s="1284"/>
      <c r="N34" s="1284"/>
      <c r="O34" s="1284"/>
      <c r="S34" s="2262" t="s">
        <v>414</v>
      </c>
      <c r="T34" s="2262"/>
      <c r="U34" s="1288"/>
      <c r="V34" s="2272">
        <f>IF(TITLE_DATE_PR_CHANGE="",IF(TITLE_DATE_PR="","",TITLE_DATE_PR),TITLE_DATE_PR_CHANGE)</f>
        <v>45278.357847222222</v>
      </c>
      <c r="W34" s="2272"/>
      <c r="X34" s="2272"/>
      <c r="Y34" s="2272"/>
      <c r="Z34" s="2272"/>
      <c r="AA34" s="2272"/>
      <c r="AB34" s="2272"/>
      <c r="AC34" s="252"/>
      <c r="AD34" s="2272">
        <f>IF(TITLE_DATE_PR_CHANGE="",IF(TITLE_DATE_PR="","",TITLE_DATE_PR),TITLE_DATE_PR_CHANGE)</f>
        <v>45278.357847222222</v>
      </c>
      <c r="AE34" s="2272"/>
      <c r="AF34" s="2272"/>
      <c r="AG34" s="2272"/>
      <c r="AH34" s="2272"/>
      <c r="AI34" s="2272"/>
      <c r="AJ34" s="2272"/>
      <c r="AK34" s="252"/>
      <c r="AL34" s="252"/>
      <c r="AM34" s="199"/>
      <c r="AN34" s="296"/>
      <c r="AO34" s="296"/>
      <c r="AP34" s="296"/>
      <c r="AQ34" s="296"/>
      <c r="AR34" s="296"/>
    </row>
    <row r="35" spans="1:44" s="1936" customFormat="1" ht="18.75" hidden="1" customHeight="1">
      <c r="A35" s="1284"/>
      <c r="B35" s="1284"/>
      <c r="C35" s="1284"/>
      <c r="D35" s="1284"/>
      <c r="E35" s="1284"/>
      <c r="F35" s="1284"/>
      <c r="G35" s="1284"/>
      <c r="H35" s="1284"/>
      <c r="I35" s="1284"/>
      <c r="J35" s="1284"/>
      <c r="K35" s="1284"/>
      <c r="L35" s="1285"/>
      <c r="M35" s="1284"/>
      <c r="N35" s="1284"/>
      <c r="O35" s="1284"/>
      <c r="S35" s="2262" t="s">
        <v>415</v>
      </c>
      <c r="T35" s="2262"/>
      <c r="U35" s="1288"/>
      <c r="V35" s="2263" t="str">
        <f>IF(TITLE_NUMBER_PR_CHANGE="",IF(TITLE_NUMBER_PR="","",TITLE_NUMBER_PR),TITLE_NUMBER_PR_CHANGE)</f>
        <v>924-в</v>
      </c>
      <c r="W35" s="2263"/>
      <c r="X35" s="2263"/>
      <c r="Y35" s="2263"/>
      <c r="Z35" s="2263"/>
      <c r="AA35" s="2263"/>
      <c r="AB35" s="2263"/>
      <c r="AC35" s="252"/>
      <c r="AD35" s="2263" t="str">
        <f>IF(TITLE_NUMBER_PR_CHANGE="",IF(TITLE_NUMBER_PR="","",TITLE_NUMBER_PR),TITLE_NUMBER_PR_CHANGE)</f>
        <v>924-в</v>
      </c>
      <c r="AE35" s="2263"/>
      <c r="AF35" s="2263"/>
      <c r="AG35" s="2263"/>
      <c r="AH35" s="2263"/>
      <c r="AI35" s="2263"/>
      <c r="AJ35" s="2263"/>
      <c r="AK35" s="252"/>
      <c r="AL35" s="252"/>
      <c r="AM35" s="199"/>
      <c r="AN35" s="296"/>
      <c r="AO35" s="296"/>
      <c r="AP35" s="296"/>
      <c r="AQ35" s="296"/>
      <c r="AR35" s="296"/>
    </row>
    <row r="36" spans="1:44" s="1936" customFormat="1" ht="0" hidden="1" customHeight="1">
      <c r="A36" s="1284"/>
      <c r="B36" s="1284"/>
      <c r="C36" s="1284"/>
      <c r="D36" s="1284"/>
      <c r="E36" s="1284"/>
      <c r="F36" s="1284"/>
      <c r="G36" s="1284"/>
      <c r="H36" s="1284"/>
      <c r="I36" s="1284"/>
      <c r="J36" s="1284"/>
      <c r="K36" s="1284"/>
      <c r="L36" s="1285"/>
      <c r="M36" s="1284"/>
      <c r="N36" s="1284"/>
      <c r="O36" s="1284"/>
      <c r="S36" s="248"/>
      <c r="T36" s="248"/>
      <c r="U36" s="1124"/>
      <c r="V36" s="252"/>
      <c r="W36" s="252"/>
      <c r="X36" s="252"/>
      <c r="Y36" s="252"/>
      <c r="Z36" s="252"/>
      <c r="AA36" s="252"/>
      <c r="AB36" s="252"/>
      <c r="AC36" s="197" t="s">
        <v>416</v>
      </c>
      <c r="AD36" s="252"/>
      <c r="AE36" s="252"/>
      <c r="AF36" s="252"/>
      <c r="AG36" s="252"/>
      <c r="AH36" s="252"/>
      <c r="AI36" s="252"/>
      <c r="AJ36" s="252"/>
      <c r="AK36" s="197" t="s">
        <v>416</v>
      </c>
      <c r="AN36" s="296"/>
      <c r="AO36" s="296"/>
      <c r="AP36" s="296"/>
      <c r="AQ36" s="296"/>
      <c r="AR36" s="296"/>
    </row>
    <row r="37" spans="1:44" ht="14.25" customHeight="1">
      <c r="Q37" s="305"/>
      <c r="R37" s="305"/>
      <c r="S37" s="1195"/>
      <c r="T37" s="290"/>
      <c r="U37" s="1153"/>
      <c r="V37" s="2264"/>
      <c r="W37" s="2264"/>
      <c r="X37" s="2264"/>
      <c r="Y37" s="2264"/>
      <c r="Z37" s="2264"/>
      <c r="AA37" s="2264"/>
      <c r="AB37" s="2264"/>
      <c r="AC37" s="2264"/>
      <c r="AD37" s="2264"/>
      <c r="AE37" s="2264"/>
      <c r="AF37" s="2264"/>
      <c r="AG37" s="2264"/>
      <c r="AH37" s="2264"/>
      <c r="AI37" s="2264"/>
      <c r="AJ37" s="2264"/>
      <c r="AK37" s="2264"/>
    </row>
    <row r="38" spans="1:44" ht="14.25" customHeight="1">
      <c r="Q38" s="305"/>
      <c r="R38" s="305"/>
      <c r="S38" s="2143" t="s">
        <v>289</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290</v>
      </c>
    </row>
    <row r="39" spans="1:44" ht="14.25" customHeight="1">
      <c r="Q39" s="305"/>
      <c r="R39" s="305"/>
      <c r="S39" s="2278" t="s">
        <v>87</v>
      </c>
      <c r="T39" s="2229" t="s">
        <v>417</v>
      </c>
      <c r="U39" s="219"/>
      <c r="V39" s="2279" t="s">
        <v>418</v>
      </c>
      <c r="W39" s="2280"/>
      <c r="X39" s="2280"/>
      <c r="Y39" s="2280"/>
      <c r="Z39" s="2280"/>
      <c r="AA39" s="2280"/>
      <c r="AB39" s="2281"/>
      <c r="AC39" s="2282" t="s">
        <v>419</v>
      </c>
      <c r="AD39" s="2279" t="s">
        <v>418</v>
      </c>
      <c r="AE39" s="2280"/>
      <c r="AF39" s="2280"/>
      <c r="AG39" s="2280"/>
      <c r="AH39" s="2280"/>
      <c r="AI39" s="2280"/>
      <c r="AJ39" s="2281"/>
      <c r="AK39" s="2282" t="s">
        <v>420</v>
      </c>
      <c r="AL39" s="2285" t="s">
        <v>421</v>
      </c>
      <c r="AM39" s="2143"/>
    </row>
    <row r="40" spans="1:44" ht="33.75" customHeight="1">
      <c r="Q40" s="305"/>
      <c r="R40" s="305"/>
      <c r="S40" s="2278"/>
      <c r="T40" s="2229"/>
      <c r="U40" s="938"/>
      <c r="V40" s="2199" t="s">
        <v>422</v>
      </c>
      <c r="W40" s="2288" t="s">
        <v>423</v>
      </c>
      <c r="X40" s="2115" t="s">
        <v>424</v>
      </c>
      <c r="Y40" s="2114"/>
      <c r="Z40" s="2115" t="s">
        <v>425</v>
      </c>
      <c r="AA40" s="2120"/>
      <c r="AB40" s="2114"/>
      <c r="AC40" s="2283"/>
      <c r="AD40" s="2199" t="s">
        <v>422</v>
      </c>
      <c r="AE40" s="2288" t="s">
        <v>423</v>
      </c>
      <c r="AF40" s="2115" t="s">
        <v>424</v>
      </c>
      <c r="AG40" s="2114"/>
      <c r="AH40" s="2115" t="s">
        <v>425</v>
      </c>
      <c r="AI40" s="2120"/>
      <c r="AJ40" s="2114"/>
      <c r="AK40" s="2283"/>
      <c r="AL40" s="2286"/>
      <c r="AM40" s="2143"/>
    </row>
    <row r="41" spans="1:44" ht="33.75" customHeight="1">
      <c r="A41" s="1286"/>
      <c r="B41" s="1286" t="s">
        <v>134</v>
      </c>
      <c r="C41" s="1286" t="s">
        <v>135</v>
      </c>
      <c r="D41" s="1286" t="s">
        <v>136</v>
      </c>
      <c r="E41" s="1280" t="s">
        <v>426</v>
      </c>
      <c r="F41" s="1280" t="s">
        <v>427</v>
      </c>
      <c r="G41" s="1280" t="s">
        <v>428</v>
      </c>
      <c r="H41" s="1280" t="s">
        <v>429</v>
      </c>
      <c r="I41" s="1280" t="s">
        <v>430</v>
      </c>
      <c r="J41" s="1280" t="s">
        <v>431</v>
      </c>
      <c r="K41" s="1280" t="s">
        <v>432</v>
      </c>
      <c r="L41" s="1280" t="s">
        <v>407</v>
      </c>
      <c r="Q41" s="305"/>
      <c r="R41" s="305"/>
      <c r="S41" s="2278"/>
      <c r="T41" s="2229"/>
      <c r="U41" s="220"/>
      <c r="V41" s="2249"/>
      <c r="W41" s="2289"/>
      <c r="X41" s="1128" t="s">
        <v>433</v>
      </c>
      <c r="Y41" s="1128" t="s">
        <v>434</v>
      </c>
      <c r="Z41" s="1127" t="s">
        <v>435</v>
      </c>
      <c r="AA41" s="2238" t="s">
        <v>436</v>
      </c>
      <c r="AB41" s="2240"/>
      <c r="AC41" s="2284"/>
      <c r="AD41" s="2249"/>
      <c r="AE41" s="2289"/>
      <c r="AF41" s="1128" t="s">
        <v>433</v>
      </c>
      <c r="AG41" s="1128" t="s">
        <v>434</v>
      </c>
      <c r="AH41" s="1231" t="s">
        <v>435</v>
      </c>
      <c r="AI41" s="2238" t="s">
        <v>436</v>
      </c>
      <c r="AJ41" s="2240"/>
      <c r="AK41" s="2284"/>
      <c r="AL41" s="2287"/>
      <c r="AM41" s="2143"/>
    </row>
    <row r="42" spans="1:44" s="1819" customFormat="1" ht="11.25" hidden="1" customHeight="1">
      <c r="A42" s="1286"/>
      <c r="B42" s="1286"/>
      <c r="C42" s="1286"/>
      <c r="D42" s="1286"/>
      <c r="E42" s="1286"/>
      <c r="F42" s="1286"/>
      <c r="G42" s="1286"/>
      <c r="H42" s="1286"/>
      <c r="I42" s="1286"/>
      <c r="J42" s="1286"/>
      <c r="K42" s="1286"/>
      <c r="L42" s="1280"/>
      <c r="M42" s="1278"/>
      <c r="N42" s="1278"/>
      <c r="O42" s="1278"/>
      <c r="P42" s="1155"/>
      <c r="Q42" s="1156"/>
      <c r="R42" s="1171">
        <v>1</v>
      </c>
      <c r="S42" s="1197" t="s">
        <v>108</v>
      </c>
      <c r="T42" s="1172" t="s">
        <v>109</v>
      </c>
      <c r="U42" s="1154" t="str">
        <f ca="1">OFFSET(U42,0,-1)</f>
        <v>2</v>
      </c>
      <c r="V42" s="1173">
        <f ca="1">OFFSET(V42,0,-1)+1</f>
        <v>3</v>
      </c>
      <c r="W42" s="1173"/>
      <c r="X42" s="1173">
        <f ca="1">OFFSET(X42,0,-1)+1</f>
        <v>1</v>
      </c>
      <c r="Y42" s="1173">
        <f ca="1">OFFSET(Y42,0,-1)+1</f>
        <v>2</v>
      </c>
      <c r="Z42" s="1173">
        <f ca="1">OFFSET(Z42,0,-1)+1</f>
        <v>3</v>
      </c>
      <c r="AA42" s="2277">
        <f ca="1">OFFSET(AA42,0,-1)+1</f>
        <v>4</v>
      </c>
      <c r="AB42" s="2277"/>
      <c r="AC42" s="1173">
        <f ca="1">OFFSET(AC42,0,-2)+1</f>
        <v>5</v>
      </c>
      <c r="AD42" s="1230">
        <f ca="1">OFFSET(AD42,0,-1)+1</f>
        <v>6</v>
      </c>
      <c r="AE42" s="1230"/>
      <c r="AF42" s="1230">
        <f ca="1">OFFSET(AF42,0,-1)+1</f>
        <v>1</v>
      </c>
      <c r="AG42" s="1230">
        <f ca="1">OFFSET(AG42,0,-1)+1</f>
        <v>2</v>
      </c>
      <c r="AH42" s="1230">
        <f ca="1">OFFSET(AH42,0,-1)+1</f>
        <v>3</v>
      </c>
      <c r="AI42" s="2277">
        <f ca="1">OFFSET(AI42,0,-1)+1</f>
        <v>4</v>
      </c>
      <c r="AJ42" s="2277"/>
      <c r="AK42" s="1230">
        <f ca="1">OFFSET(AK42,0,-2)+1</f>
        <v>5</v>
      </c>
      <c r="AL42" s="1154">
        <f ca="1">OFFSET(AL42,0,-1)</f>
        <v>5</v>
      </c>
      <c r="AM42" s="1173">
        <f ca="1">OFFSET(AM42,0,-1)+1</f>
        <v>6</v>
      </c>
      <c r="AN42" s="437"/>
      <c r="AO42" s="437"/>
      <c r="AP42" s="437"/>
      <c r="AQ42" s="437"/>
      <c r="AR42" s="437"/>
    </row>
    <row r="43" spans="1:44" ht="23.25" customHeight="1">
      <c r="A43" s="1279" t="s">
        <v>155</v>
      </c>
      <c r="B43" s="1279"/>
      <c r="C43" s="1279"/>
      <c r="D43" s="1279"/>
      <c r="E43" s="2270">
        <v>1</v>
      </c>
      <c r="F43" s="1279"/>
      <c r="G43" s="1279"/>
      <c r="H43" s="1279"/>
      <c r="I43" s="1279"/>
      <c r="J43" s="1279"/>
      <c r="K43" s="1279"/>
      <c r="L43" s="1280"/>
      <c r="M43" s="1281"/>
      <c r="N43" s="1281"/>
      <c r="O43" s="1281"/>
      <c r="P43" s="286"/>
      <c r="Q43" s="285"/>
      <c r="R43" s="280"/>
      <c r="S43" s="1132">
        <f>INDEX(PT_DIFFERENTIATION_NUM_NTAR,MATCH(A43,PT_DIFFERENTIATION_NTAR_ID,0))</f>
        <v>0</v>
      </c>
      <c r="T43" s="216" t="s">
        <v>122</v>
      </c>
      <c r="U43" s="218"/>
      <c r="V43" s="2256"/>
      <c r="W43" s="2257"/>
      <c r="X43" s="2257"/>
      <c r="Y43" s="2257"/>
      <c r="Z43" s="2257"/>
      <c r="AA43" s="2257"/>
      <c r="AB43" s="2257"/>
      <c r="AC43" s="2258"/>
      <c r="AD43" s="2256" t="str">
        <f>INDEX(PT_DIFFERENTIATION_NTAR,MATCH(A43,PT_DIFFERENTIATION_NTAR_ID,0))</f>
        <v/>
      </c>
      <c r="AE43" s="2257"/>
      <c r="AF43" s="2257"/>
      <c r="AG43" s="2257"/>
      <c r="AH43" s="2257"/>
      <c r="AI43" s="2257"/>
      <c r="AJ43" s="2257"/>
      <c r="AK43" s="2257"/>
      <c r="AL43" s="2258"/>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6"/>
      <c r="AP43" s="426" t="str">
        <f t="shared" ref="AP43:AP57" si="1">IF(T43="","",T43)</f>
        <v>Наименование тарифа</v>
      </c>
      <c r="AQ43" s="426"/>
      <c r="AR43" s="426"/>
    </row>
    <row r="44" spans="1:44" ht="23.25" customHeight="1">
      <c r="A44" s="1279" t="s">
        <v>155</v>
      </c>
      <c r="B44" s="1279" t="s">
        <v>156</v>
      </c>
      <c r="C44" s="1279"/>
      <c r="D44" s="1279"/>
      <c r="E44" s="2271"/>
      <c r="F44" s="2270">
        <v>1</v>
      </c>
      <c r="G44" s="1279"/>
      <c r="H44" s="1279"/>
      <c r="I44" s="1279"/>
      <c r="J44" s="1279"/>
      <c r="K44" s="1279"/>
      <c r="L44" s="1280"/>
      <c r="M44" s="1281"/>
      <c r="N44" s="1281"/>
      <c r="O44" s="1281"/>
      <c r="P44" s="448"/>
      <c r="Q44" s="277"/>
      <c r="R44" s="278"/>
      <c r="S44" s="1132" t="str">
        <f>INDEX(PT_DIFFERENTIATION_NUM_TER,MATCH(B44,PT_DIFFERENTIATION_TER_ID,0))</f>
        <v>.</v>
      </c>
      <c r="T44" s="228" t="s">
        <v>388</v>
      </c>
      <c r="U44" s="218"/>
      <c r="V44" s="2256"/>
      <c r="W44" s="2257"/>
      <c r="X44" s="2257"/>
      <c r="Y44" s="2257"/>
      <c r="Z44" s="2257"/>
      <c r="AA44" s="2257"/>
      <c r="AB44" s="2257"/>
      <c r="AC44" s="2258"/>
      <c r="AD44" s="2256" t="str">
        <f>INDEX(PT_DIFFERENTIATION_TER,MATCH(B44,PT_DIFFERENTIATION_TER_ID,0))</f>
        <v/>
      </c>
      <c r="AE44" s="2257"/>
      <c r="AF44" s="2257"/>
      <c r="AG44" s="2257"/>
      <c r="AH44" s="2257"/>
      <c r="AI44" s="2257"/>
      <c r="AJ44" s="2257"/>
      <c r="AK44" s="2257"/>
      <c r="AL44" s="2258"/>
      <c r="AM44" s="1177" t="s">
        <v>389</v>
      </c>
      <c r="AO44" s="426"/>
      <c r="AP44" s="426" t="str">
        <f t="shared" si="1"/>
        <v>Территория действия тарифа</v>
      </c>
      <c r="AQ44" s="426"/>
      <c r="AR44" s="426"/>
    </row>
    <row r="45" spans="1:44" ht="23.25" customHeight="1">
      <c r="A45" s="1279" t="s">
        <v>155</v>
      </c>
      <c r="B45" s="1279" t="s">
        <v>156</v>
      </c>
      <c r="C45" s="1279" t="s">
        <v>157</v>
      </c>
      <c r="D45" s="1279"/>
      <c r="E45" s="2271"/>
      <c r="F45" s="2271"/>
      <c r="G45" s="2270">
        <v>1</v>
      </c>
      <c r="H45" s="1279"/>
      <c r="I45" s="1279"/>
      <c r="J45" s="1279"/>
      <c r="K45" s="1279"/>
      <c r="L45" s="1280"/>
      <c r="M45" s="1281"/>
      <c r="N45" s="1281"/>
      <c r="O45" s="1281"/>
      <c r="P45" s="279"/>
      <c r="Q45" s="277"/>
      <c r="R45" s="278"/>
      <c r="S45" s="1132" t="str">
        <f>INDEX(PT_DIFFERENTIATION_NUM_CS,MATCH(C45,PT_DIFFERENTIATION_CS_ID,0))</f>
        <v>..</v>
      </c>
      <c r="T45" s="229" t="s">
        <v>390</v>
      </c>
      <c r="U45" s="218"/>
      <c r="V45" s="2256"/>
      <c r="W45" s="2257"/>
      <c r="X45" s="2257"/>
      <c r="Y45" s="2257"/>
      <c r="Z45" s="2257"/>
      <c r="AA45" s="2257"/>
      <c r="AB45" s="2257"/>
      <c r="AC45" s="2258"/>
      <c r="AD45" s="2256" t="str">
        <f>INDEX(PT_DIFFERENTIATION_CS,MATCH(C45,PT_DIFFERENTIATION_CS_ID,0))</f>
        <v/>
      </c>
      <c r="AE45" s="2257"/>
      <c r="AF45" s="2257"/>
      <c r="AG45" s="2257"/>
      <c r="AH45" s="2257"/>
      <c r="AI45" s="2257"/>
      <c r="AJ45" s="2257"/>
      <c r="AK45" s="2257"/>
      <c r="AL45" s="2258"/>
      <c r="AM45" s="1177" t="s">
        <v>391</v>
      </c>
      <c r="AO45" s="426"/>
      <c r="AP45" s="426" t="str">
        <f t="shared" si="1"/>
        <v xml:space="preserve">Наименование системы теплоснабжения </v>
      </c>
      <c r="AQ45" s="426"/>
      <c r="AR45" s="426"/>
    </row>
    <row r="46" spans="1:44" ht="23.25" customHeight="1">
      <c r="A46" s="1279" t="s">
        <v>155</v>
      </c>
      <c r="B46" s="1279" t="s">
        <v>156</v>
      </c>
      <c r="C46" s="1279" t="s">
        <v>157</v>
      </c>
      <c r="D46" s="1279" t="s">
        <v>158</v>
      </c>
      <c r="E46" s="2271"/>
      <c r="F46" s="2271"/>
      <c r="G46" s="2271"/>
      <c r="H46" s="2270">
        <v>1</v>
      </c>
      <c r="I46" s="1279"/>
      <c r="J46" s="1279"/>
      <c r="K46" s="1279"/>
      <c r="L46" s="1280"/>
      <c r="M46" s="1281"/>
      <c r="N46" s="1281"/>
      <c r="O46" s="1281"/>
      <c r="P46" s="279"/>
      <c r="Q46" s="277"/>
      <c r="R46" s="278"/>
      <c r="S46" s="1132" t="str">
        <f>INDEX(PT_DIFFERENTIATION_NUM_IST_TE,MATCH(D46,PT_DIFFERENTIATION_IST_TE_ID,0))</f>
        <v>...</v>
      </c>
      <c r="T46" s="230" t="s">
        <v>392</v>
      </c>
      <c r="U46" s="218"/>
      <c r="V46" s="2256"/>
      <c r="W46" s="2257"/>
      <c r="X46" s="2257"/>
      <c r="Y46" s="2257"/>
      <c r="Z46" s="2257"/>
      <c r="AA46" s="2257"/>
      <c r="AB46" s="2257"/>
      <c r="AC46" s="2258"/>
      <c r="AD46" s="2256" t="str">
        <f>INDEX(PT_DIFFERENTIATION_IST_TE,MATCH(D46,PT_DIFFERENTIATION_IST_TE_ID,0))</f>
        <v/>
      </c>
      <c r="AE46" s="2257"/>
      <c r="AF46" s="2257"/>
      <c r="AG46" s="2257"/>
      <c r="AH46" s="2257"/>
      <c r="AI46" s="2257"/>
      <c r="AJ46" s="2257"/>
      <c r="AK46" s="2257"/>
      <c r="AL46" s="2258"/>
      <c r="AM46" s="1177" t="s">
        <v>393</v>
      </c>
      <c r="AO46" s="426"/>
      <c r="AP46" s="426" t="str">
        <f t="shared" si="1"/>
        <v xml:space="preserve">Источник тепловой энергии  </v>
      </c>
      <c r="AQ46" s="426"/>
      <c r="AR46" s="426"/>
    </row>
    <row r="47" spans="1:44" ht="47.25" customHeight="1">
      <c r="A47" s="1279" t="s">
        <v>155</v>
      </c>
      <c r="B47" s="1279" t="s">
        <v>156</v>
      </c>
      <c r="C47" s="1279" t="s">
        <v>157</v>
      </c>
      <c r="D47" s="1279" t="s">
        <v>158</v>
      </c>
      <c r="E47" s="2271"/>
      <c r="F47" s="2271"/>
      <c r="G47" s="2271"/>
      <c r="H47" s="2271"/>
      <c r="I47" s="2268" t="str">
        <f>S46&amp;".1"</f>
        <v>....1</v>
      </c>
      <c r="J47" s="1279"/>
      <c r="K47" s="1279"/>
      <c r="L47" s="1280" t="s">
        <v>394</v>
      </c>
      <c r="P47" s="2269">
        <v>1</v>
      </c>
      <c r="Q47" s="1126"/>
      <c r="R47" s="281"/>
      <c r="S47" s="1132" t="str">
        <f>$I47</f>
        <v>....1</v>
      </c>
      <c r="T47" s="203" t="s">
        <v>395</v>
      </c>
      <c r="U47" s="218"/>
      <c r="V47" s="2259"/>
      <c r="W47" s="2260"/>
      <c r="X47" s="2260"/>
      <c r="Y47" s="2260"/>
      <c r="Z47" s="2260"/>
      <c r="AA47" s="2260"/>
      <c r="AB47" s="2260"/>
      <c r="AC47" s="2261"/>
      <c r="AD47" s="2259"/>
      <c r="AE47" s="2260"/>
      <c r="AF47" s="2260"/>
      <c r="AG47" s="2260"/>
      <c r="AH47" s="2260"/>
      <c r="AI47" s="2260"/>
      <c r="AJ47" s="2260"/>
      <c r="AK47" s="2260"/>
      <c r="AL47" s="2261"/>
      <c r="AM47" s="1177" t="s">
        <v>396</v>
      </c>
      <c r="AO47" s="426"/>
      <c r="AP47" s="426" t="str">
        <f t="shared" si="1"/>
        <v>Схема подключения теплопотребляющей установки к коллектору источника тепловой энергии</v>
      </c>
      <c r="AQ47" s="426"/>
      <c r="AR47" s="426"/>
    </row>
    <row r="48" spans="1:44" ht="23.25" customHeight="1">
      <c r="A48" s="1279" t="s">
        <v>155</v>
      </c>
      <c r="B48" s="1279" t="s">
        <v>156</v>
      </c>
      <c r="C48" s="1279" t="s">
        <v>157</v>
      </c>
      <c r="D48" s="1279" t="s">
        <v>158</v>
      </c>
      <c r="E48" s="2271"/>
      <c r="F48" s="2271"/>
      <c r="G48" s="2271"/>
      <c r="H48" s="2271"/>
      <c r="I48" s="2291"/>
      <c r="J48" s="2268" t="str">
        <f>I47&amp;".1"</f>
        <v>....1.1</v>
      </c>
      <c r="K48" s="1279"/>
      <c r="L48" s="1280" t="s">
        <v>397</v>
      </c>
      <c r="P48" s="2269"/>
      <c r="Q48" s="2269">
        <v>1</v>
      </c>
      <c r="R48" s="282"/>
      <c r="S48" s="1132" t="str">
        <f>$J48</f>
        <v>....1.1</v>
      </c>
      <c r="T48" s="204" t="s">
        <v>398</v>
      </c>
      <c r="U48" s="218"/>
      <c r="V48" s="2259"/>
      <c r="W48" s="2260"/>
      <c r="X48" s="2260"/>
      <c r="Y48" s="2260"/>
      <c r="Z48" s="2260"/>
      <c r="AA48" s="2260"/>
      <c r="AB48" s="2260"/>
      <c r="AC48" s="2261"/>
      <c r="AD48" s="2259"/>
      <c r="AE48" s="2260"/>
      <c r="AF48" s="2260"/>
      <c r="AG48" s="2260"/>
      <c r="AH48" s="2260"/>
      <c r="AI48" s="2260"/>
      <c r="AJ48" s="2260"/>
      <c r="AK48" s="2260"/>
      <c r="AL48" s="2261"/>
      <c r="AM48" s="1177" t="s">
        <v>399</v>
      </c>
      <c r="AO48" s="426"/>
      <c r="AP48" s="426" t="str">
        <f t="shared" si="1"/>
        <v>Группа потребителей</v>
      </c>
      <c r="AQ48" s="426"/>
      <c r="AR48" s="426"/>
    </row>
    <row r="49" spans="1:44" ht="23.25" customHeight="1">
      <c r="A49" s="1279" t="s">
        <v>155</v>
      </c>
      <c r="B49" s="1279" t="s">
        <v>156</v>
      </c>
      <c r="C49" s="1279" t="s">
        <v>157</v>
      </c>
      <c r="D49" s="1279" t="s">
        <v>158</v>
      </c>
      <c r="E49" s="2271"/>
      <c r="F49" s="2271"/>
      <c r="G49" s="2271"/>
      <c r="H49" s="2271"/>
      <c r="I49" s="2291"/>
      <c r="J49" s="2291"/>
      <c r="K49" s="2268" t="str">
        <f>J48&amp;".1"</f>
        <v>....1.1.1</v>
      </c>
      <c r="L49" s="1280" t="s">
        <v>400</v>
      </c>
      <c r="P49" s="2269"/>
      <c r="Q49" s="2269"/>
      <c r="R49" s="282">
        <v>1</v>
      </c>
      <c r="S49" s="1132" t="str">
        <f>$K49</f>
        <v>....1.1.1</v>
      </c>
      <c r="T49" s="1264"/>
      <c r="U49" s="218"/>
      <c r="V49" s="668"/>
      <c r="W49" s="250"/>
      <c r="X49" s="668"/>
      <c r="Y49" s="1176"/>
      <c r="Z49" s="2273"/>
      <c r="AA49" s="2124" t="s">
        <v>61</v>
      </c>
      <c r="AB49" s="2273"/>
      <c r="AC49" s="2124" t="s">
        <v>61</v>
      </c>
      <c r="AD49" s="668"/>
      <c r="AE49" s="250"/>
      <c r="AF49" s="668"/>
      <c r="AG49" s="1176"/>
      <c r="AH49" s="2273"/>
      <c r="AI49" s="2124" t="s">
        <v>61</v>
      </c>
      <c r="AJ49" s="2292"/>
      <c r="AK49" s="2124" t="s">
        <v>61</v>
      </c>
      <c r="AL49" s="1265"/>
      <c r="AM49" s="2265" t="s">
        <v>401</v>
      </c>
      <c r="AN49" s="437" t="e">
        <f ca="1">STRCHECKDATE(V50:AL50)</f>
        <v>#NAME?</v>
      </c>
      <c r="AO49" s="426"/>
      <c r="AP49" s="426" t="str">
        <f t="shared" si="1"/>
        <v/>
      </c>
      <c r="AQ49" s="426"/>
      <c r="AR49" s="426"/>
    </row>
    <row r="50" spans="1:44" ht="0.75" customHeight="1">
      <c r="A50" s="1279" t="s">
        <v>155</v>
      </c>
      <c r="B50" s="1279" t="s">
        <v>156</v>
      </c>
      <c r="C50" s="1279" t="s">
        <v>157</v>
      </c>
      <c r="D50" s="1279" t="s">
        <v>158</v>
      </c>
      <c r="E50" s="2271"/>
      <c r="F50" s="2271"/>
      <c r="G50" s="2271"/>
      <c r="H50" s="2271"/>
      <c r="I50" s="2291"/>
      <c r="J50" s="2291"/>
      <c r="K50" s="2268"/>
      <c r="L50" s="1280"/>
      <c r="P50" s="2269"/>
      <c r="Q50" s="2269"/>
      <c r="R50" s="282"/>
      <c r="S50" s="1130"/>
      <c r="T50" s="218"/>
      <c r="U50" s="218"/>
      <c r="V50" s="250"/>
      <c r="W50" s="250"/>
      <c r="X50" s="250"/>
      <c r="Y50" s="254" t="str">
        <f>Z49&amp;"-"&amp;AB49</f>
        <v>-</v>
      </c>
      <c r="Z50" s="2274"/>
      <c r="AA50" s="2124"/>
      <c r="AB50" s="2274"/>
      <c r="AC50" s="2124"/>
      <c r="AD50" s="250"/>
      <c r="AE50" s="250"/>
      <c r="AF50" s="250"/>
      <c r="AG50" s="254" t="str">
        <f>AH49&amp;"-"&amp;AJ49</f>
        <v>-</v>
      </c>
      <c r="AH50" s="2274"/>
      <c r="AI50" s="2124"/>
      <c r="AJ50" s="2293"/>
      <c r="AK50" s="2124"/>
      <c r="AL50" s="1266"/>
      <c r="AM50" s="2266"/>
      <c r="AO50" s="426"/>
      <c r="AP50" s="426" t="str">
        <f t="shared" si="1"/>
        <v/>
      </c>
      <c r="AQ50" s="426"/>
      <c r="AR50" s="426"/>
    </row>
    <row r="51" spans="1:44" ht="11.25" customHeight="1">
      <c r="A51" s="1279" t="s">
        <v>155</v>
      </c>
      <c r="B51" s="1279" t="s">
        <v>156</v>
      </c>
      <c r="C51" s="1279" t="s">
        <v>157</v>
      </c>
      <c r="D51" s="1279" t="s">
        <v>158</v>
      </c>
      <c r="E51" s="2271"/>
      <c r="F51" s="2271"/>
      <c r="G51" s="2271"/>
      <c r="H51" s="2271"/>
      <c r="I51" s="2291"/>
      <c r="J51" s="2268"/>
      <c r="K51" s="1279"/>
      <c r="L51" s="1280"/>
      <c r="P51" s="2269"/>
      <c r="Q51" s="2269"/>
      <c r="R51" s="281"/>
      <c r="S51" s="1198"/>
      <c r="T51" s="206" t="s">
        <v>402</v>
      </c>
      <c r="U51" s="295"/>
      <c r="V51" s="295"/>
      <c r="W51" s="295"/>
      <c r="X51" s="295"/>
      <c r="Y51" s="295"/>
      <c r="Z51" s="295"/>
      <c r="AA51" s="295"/>
      <c r="AB51" s="295"/>
      <c r="AC51" s="295"/>
      <c r="AD51" s="295"/>
      <c r="AE51" s="295"/>
      <c r="AF51" s="295"/>
      <c r="AG51" s="295"/>
      <c r="AH51" s="295"/>
      <c r="AI51" s="295"/>
      <c r="AJ51" s="295"/>
      <c r="AK51" s="295"/>
      <c r="AL51" s="249"/>
      <c r="AM51" s="2267"/>
      <c r="AO51" s="426"/>
      <c r="AP51" s="426" t="str">
        <f t="shared" si="1"/>
        <v>Добавить вид теплоносителя (параметры теплоносителя)</v>
      </c>
      <c r="AQ51" s="426"/>
      <c r="AR51" s="426"/>
    </row>
    <row r="52" spans="1:44" ht="11.25" customHeight="1">
      <c r="A52" s="1279" t="s">
        <v>155</v>
      </c>
      <c r="B52" s="1279" t="s">
        <v>156</v>
      </c>
      <c r="C52" s="1279" t="s">
        <v>157</v>
      </c>
      <c r="D52" s="1279" t="s">
        <v>158</v>
      </c>
      <c r="E52" s="2271"/>
      <c r="F52" s="2271"/>
      <c r="G52" s="2271"/>
      <c r="H52" s="2271"/>
      <c r="I52" s="2268"/>
      <c r="J52" s="1279"/>
      <c r="K52" s="1279"/>
      <c r="L52" s="1280"/>
      <c r="P52" s="2269"/>
      <c r="Q52" s="1126"/>
      <c r="R52" s="281"/>
      <c r="S52" s="1198"/>
      <c r="T52" s="205" t="s">
        <v>403</v>
      </c>
      <c r="U52" s="295"/>
      <c r="V52" s="295"/>
      <c r="W52" s="295"/>
      <c r="X52" s="295"/>
      <c r="Y52" s="295"/>
      <c r="Z52" s="295"/>
      <c r="AA52" s="295"/>
      <c r="AB52" s="295"/>
      <c r="AC52" s="294"/>
      <c r="AD52" s="295"/>
      <c r="AE52" s="295"/>
      <c r="AF52" s="295"/>
      <c r="AG52" s="295"/>
      <c r="AH52" s="295"/>
      <c r="AI52" s="295"/>
      <c r="AJ52" s="295"/>
      <c r="AK52" s="294"/>
      <c r="AL52" s="295"/>
      <c r="AM52" s="221"/>
      <c r="AO52" s="426"/>
      <c r="AP52" s="426" t="str">
        <f t="shared" si="1"/>
        <v>Добавить группу потребителей</v>
      </c>
      <c r="AQ52" s="426"/>
      <c r="AR52" s="426"/>
    </row>
    <row r="53" spans="1:44" ht="14.25" customHeight="1">
      <c r="A53" s="1279" t="s">
        <v>155</v>
      </c>
      <c r="B53" s="1279" t="s">
        <v>156</v>
      </c>
      <c r="C53" s="1279" t="s">
        <v>157</v>
      </c>
      <c r="D53" s="1279" t="s">
        <v>158</v>
      </c>
      <c r="E53" s="2271"/>
      <c r="F53" s="2271"/>
      <c r="G53" s="2271"/>
      <c r="H53" s="2270"/>
      <c r="I53" s="1279"/>
      <c r="J53" s="1279"/>
      <c r="K53" s="1279"/>
      <c r="L53" s="1280"/>
      <c r="M53" s="1281"/>
      <c r="N53" s="1281"/>
      <c r="O53" s="462"/>
      <c r="P53" s="285"/>
      <c r="Q53" s="304"/>
      <c r="R53" s="280"/>
      <c r="S53" s="1198"/>
      <c r="T53" s="292" t="s">
        <v>404</v>
      </c>
      <c r="U53" s="295"/>
      <c r="V53" s="295"/>
      <c r="W53" s="295"/>
      <c r="X53" s="295"/>
      <c r="Y53" s="295"/>
      <c r="Z53" s="295"/>
      <c r="AA53" s="295"/>
      <c r="AB53" s="295"/>
      <c r="AC53" s="294"/>
      <c r="AD53" s="295"/>
      <c r="AE53" s="295"/>
      <c r="AF53" s="295"/>
      <c r="AG53" s="295"/>
      <c r="AH53" s="295"/>
      <c r="AI53" s="295"/>
      <c r="AJ53" s="295"/>
      <c r="AK53" s="294"/>
      <c r="AL53" s="295"/>
      <c r="AM53" s="221"/>
      <c r="AO53" s="426"/>
      <c r="AP53" s="426" t="str">
        <f t="shared" si="1"/>
        <v>Добавить схему подключения</v>
      </c>
      <c r="AQ53" s="426"/>
      <c r="AR53" s="426"/>
    </row>
    <row r="54" spans="1:44" s="1930" customFormat="1" ht="0.75" customHeight="1">
      <c r="A54" s="1260" t="s">
        <v>155</v>
      </c>
      <c r="B54" s="1260" t="s">
        <v>156</v>
      </c>
      <c r="C54" s="1260" t="s">
        <v>157</v>
      </c>
      <c r="D54" s="1232"/>
      <c r="E54" s="2271"/>
      <c r="F54" s="2271"/>
      <c r="G54" s="2270"/>
      <c r="H54" s="1232"/>
      <c r="I54" s="1232"/>
      <c r="J54" s="1232"/>
      <c r="K54" s="1232"/>
      <c r="L54" s="1256"/>
      <c r="M54" s="1233"/>
      <c r="N54" s="1233"/>
      <c r="P54" s="1234"/>
      <c r="Q54" s="1235"/>
      <c r="R54" s="1234"/>
      <c r="S54" s="1240"/>
      <c r="T54" s="1243" t="s">
        <v>405</v>
      </c>
      <c r="U54" s="1242"/>
      <c r="V54" s="1242"/>
      <c r="W54" s="1242"/>
      <c r="X54" s="1242"/>
      <c r="Y54" s="1242"/>
      <c r="Z54" s="1242"/>
      <c r="AA54" s="1242"/>
      <c r="AB54" s="1242"/>
      <c r="AC54" s="1242"/>
      <c r="AD54" s="1242"/>
      <c r="AE54" s="1242"/>
      <c r="AF54" s="1242"/>
      <c r="AG54" s="1242"/>
      <c r="AH54" s="1242"/>
      <c r="AI54" s="1242"/>
      <c r="AJ54" s="1242"/>
      <c r="AK54" s="1242"/>
      <c r="AL54" s="1242"/>
      <c r="AM54" s="1242"/>
      <c r="AO54" s="706"/>
      <c r="AP54" s="706" t="str">
        <f t="shared" si="1"/>
        <v>Добавить источник для дифференциации</v>
      </c>
      <c r="AQ54" s="706"/>
      <c r="AR54" s="706"/>
    </row>
    <row r="55" spans="1:44" s="1930" customFormat="1" ht="0.75" customHeight="1">
      <c r="A55" s="1260" t="s">
        <v>155</v>
      </c>
      <c r="B55" s="1260" t="s">
        <v>156</v>
      </c>
      <c r="C55" s="1232"/>
      <c r="D55" s="1232"/>
      <c r="E55" s="2271"/>
      <c r="F55" s="2270"/>
      <c r="G55" s="1232"/>
      <c r="H55" s="1232"/>
      <c r="I55" s="1232"/>
      <c r="J55" s="1232"/>
      <c r="K55" s="1232"/>
      <c r="L55" s="1256"/>
      <c r="M55" s="1239"/>
      <c r="N55" s="1239"/>
      <c r="P55" s="1234"/>
      <c r="Q55" s="1235"/>
      <c r="R55" s="1234"/>
      <c r="S55" s="1240"/>
      <c r="T55" s="1243" t="s">
        <v>215</v>
      </c>
      <c r="U55" s="1242"/>
      <c r="V55" s="1242"/>
      <c r="W55" s="1242"/>
      <c r="X55" s="1242"/>
      <c r="Y55" s="1242"/>
      <c r="Z55" s="1242"/>
      <c r="AA55" s="1242"/>
      <c r="AB55" s="1242"/>
      <c r="AC55" s="1242"/>
      <c r="AD55" s="1242"/>
      <c r="AE55" s="1242"/>
      <c r="AF55" s="1242"/>
      <c r="AG55" s="1242"/>
      <c r="AH55" s="1242"/>
      <c r="AI55" s="1242"/>
      <c r="AJ55" s="1242"/>
      <c r="AK55" s="1242"/>
      <c r="AL55" s="1242"/>
      <c r="AM55" s="1242"/>
      <c r="AO55" s="706"/>
      <c r="AP55" s="706" t="str">
        <f t="shared" si="1"/>
        <v>Добавить централизованную систему для дифференциации</v>
      </c>
      <c r="AQ55" s="706"/>
      <c r="AR55" s="706"/>
    </row>
    <row r="56" spans="1:44" s="1820" customFormat="1" ht="0.75" customHeight="1">
      <c r="A56" s="1260" t="s">
        <v>155</v>
      </c>
      <c r="B56" s="1260"/>
      <c r="C56" s="1260"/>
      <c r="D56" s="1260"/>
      <c r="E56" s="2270"/>
      <c r="F56" s="1260"/>
      <c r="G56" s="1260"/>
      <c r="H56" s="1260"/>
      <c r="I56" s="1260"/>
      <c r="J56" s="1260"/>
      <c r="K56" s="1260"/>
      <c r="L56" s="1263"/>
      <c r="M56" s="1239"/>
      <c r="N56" s="1239"/>
      <c r="O56" s="444"/>
      <c r="P56" s="313"/>
      <c r="Q56" s="1261"/>
      <c r="R56" s="313"/>
      <c r="S56" s="1240"/>
      <c r="T56" s="1243" t="s">
        <v>216</v>
      </c>
      <c r="U56" s="1242"/>
      <c r="V56" s="1242"/>
      <c r="W56" s="1242"/>
      <c r="X56" s="1242"/>
      <c r="Y56" s="1242"/>
      <c r="Z56" s="1242"/>
      <c r="AA56" s="1242"/>
      <c r="AB56" s="1242"/>
      <c r="AC56" s="1242"/>
      <c r="AD56" s="1242"/>
      <c r="AE56" s="1242"/>
      <c r="AF56" s="1242"/>
      <c r="AG56" s="1242"/>
      <c r="AH56" s="1242"/>
      <c r="AI56" s="1242"/>
      <c r="AJ56" s="1242"/>
      <c r="AK56" s="1242"/>
      <c r="AL56" s="1242"/>
      <c r="AM56" s="1242"/>
      <c r="AO56" s="426"/>
      <c r="AP56" s="426" t="str">
        <f t="shared" si="1"/>
        <v>Добавить территорию для дифференциации</v>
      </c>
      <c r="AQ56" s="426"/>
      <c r="AR56" s="426"/>
    </row>
    <row r="57" spans="1:44" s="1930" customFormat="1" ht="0.75" customHeight="1">
      <c r="A57" s="1232"/>
      <c r="B57" s="1232"/>
      <c r="C57" s="1232"/>
      <c r="D57" s="1232"/>
      <c r="E57" s="1260"/>
      <c r="F57" s="1232"/>
      <c r="G57" s="1232"/>
      <c r="H57" s="1232"/>
      <c r="I57" s="1232"/>
      <c r="J57" s="1232"/>
      <c r="K57" s="1232"/>
      <c r="L57" s="1256"/>
      <c r="M57" s="1239"/>
      <c r="N57" s="1239"/>
      <c r="P57" s="1234"/>
      <c r="Q57" s="1235"/>
      <c r="R57" s="1234"/>
      <c r="S57" s="1240"/>
      <c r="T57" s="1243" t="s">
        <v>217</v>
      </c>
      <c r="U57" s="1242"/>
      <c r="V57" s="1242"/>
      <c r="W57" s="1242"/>
      <c r="X57" s="1242"/>
      <c r="Y57" s="1242"/>
      <c r="Z57" s="1242"/>
      <c r="AA57" s="1242"/>
      <c r="AB57" s="1242"/>
      <c r="AC57" s="1242"/>
      <c r="AD57" s="1242"/>
      <c r="AE57" s="1242"/>
      <c r="AF57" s="1242"/>
      <c r="AG57" s="1242"/>
      <c r="AH57" s="1242"/>
      <c r="AI57" s="1242"/>
      <c r="AJ57" s="1242"/>
      <c r="AK57" s="1242"/>
      <c r="AL57" s="1242"/>
      <c r="AM57" s="1242"/>
      <c r="AO57" s="706"/>
      <c r="AP57" s="706" t="str">
        <f t="shared" si="1"/>
        <v>Добавить наименование тарифа</v>
      </c>
      <c r="AQ57" s="706"/>
      <c r="AR57" s="706"/>
    </row>
    <row r="58" spans="1:44" ht="11.25" customHeight="1">
      <c r="M58" s="1060"/>
      <c r="N58" s="1060"/>
      <c r="O58" s="462"/>
      <c r="P58" s="1055"/>
      <c r="Q58" s="1055"/>
      <c r="R58" s="1055"/>
      <c r="S58" s="1055"/>
      <c r="AN58" s="1055"/>
      <c r="AO58" s="1055"/>
      <c r="AP58" s="1055"/>
      <c r="AQ58" s="1055"/>
      <c r="AR58" s="1055"/>
    </row>
    <row r="59" spans="1:44" ht="27" customHeight="1">
      <c r="O59" s="462"/>
      <c r="S59" s="1164"/>
      <c r="T59" s="2290"/>
      <c r="U59" s="2290"/>
      <c r="V59" s="2290"/>
      <c r="W59" s="2290"/>
      <c r="X59" s="2290"/>
      <c r="Y59" s="2290"/>
      <c r="Z59" s="2290"/>
      <c r="AA59" s="2290"/>
      <c r="AB59" s="2290"/>
      <c r="AC59" s="2290"/>
      <c r="AD59" s="2290"/>
      <c r="AE59" s="2290"/>
      <c r="AF59" s="2290"/>
      <c r="AG59" s="2290"/>
      <c r="AH59" s="2290"/>
      <c r="AI59" s="2290"/>
      <c r="AJ59" s="2290"/>
      <c r="AK59" s="2290"/>
      <c r="AL59" s="2290"/>
      <c r="AM59" s="2290"/>
    </row>
    <row r="60" spans="1:44" ht="64.5" customHeight="1">
      <c r="O60" s="462"/>
      <c r="P60" s="1222"/>
      <c r="T60" s="2290"/>
      <c r="U60" s="2290"/>
      <c r="V60" s="2290"/>
      <c r="W60" s="2290"/>
      <c r="X60" s="2290"/>
      <c r="Y60" s="2290"/>
      <c r="Z60" s="2290"/>
      <c r="AA60" s="2290"/>
      <c r="AB60" s="2290"/>
      <c r="AC60" s="2290"/>
      <c r="AD60" s="2290"/>
      <c r="AE60" s="2290"/>
      <c r="AF60" s="2290"/>
      <c r="AG60" s="2290"/>
      <c r="AH60" s="2290"/>
      <c r="AI60" s="2290"/>
      <c r="AJ60" s="2290"/>
      <c r="AK60" s="2290"/>
      <c r="AL60" s="2290"/>
      <c r="AM60" s="2290"/>
    </row>
    <row r="61" spans="1:44" ht="14.25" customHeight="1">
      <c r="O61" s="462"/>
    </row>
    <row r="62" spans="1:44" ht="18" customHeight="1">
      <c r="O62" s="462"/>
      <c r="P62" s="1245"/>
      <c r="S62" s="1164"/>
      <c r="T62" s="2290"/>
      <c r="U62" s="2290"/>
      <c r="V62" s="2290"/>
      <c r="W62" s="2290"/>
      <c r="X62" s="2290"/>
      <c r="Y62" s="2290"/>
      <c r="Z62" s="2290"/>
      <c r="AA62" s="2290"/>
      <c r="AB62" s="2290"/>
      <c r="AC62" s="2290"/>
      <c r="AD62" s="2290"/>
      <c r="AE62" s="2290"/>
      <c r="AF62" s="2290"/>
      <c r="AG62" s="2290"/>
      <c r="AH62" s="2290"/>
      <c r="AI62" s="2290"/>
      <c r="AJ62" s="2290"/>
      <c r="AK62" s="2290"/>
      <c r="AL62" s="2290"/>
      <c r="AM62" s="2290"/>
    </row>
    <row r="63" spans="1:44" ht="18" customHeight="1">
      <c r="O63" s="462"/>
      <c r="P63" s="1245"/>
      <c r="T63" s="2290"/>
      <c r="U63" s="2290"/>
      <c r="V63" s="2290"/>
      <c r="W63" s="2290"/>
      <c r="X63" s="2290"/>
      <c r="Y63" s="2290"/>
      <c r="Z63" s="2290"/>
      <c r="AA63" s="2290"/>
      <c r="AB63" s="2290"/>
      <c r="AC63" s="2290"/>
      <c r="AD63" s="2290"/>
      <c r="AE63" s="2290"/>
      <c r="AF63" s="2290"/>
      <c r="AG63" s="2290"/>
      <c r="AH63" s="2290"/>
      <c r="AI63" s="2290"/>
      <c r="AJ63" s="2290"/>
      <c r="AK63" s="2290"/>
      <c r="AL63" s="2290"/>
      <c r="AM63" s="2290"/>
    </row>
    <row r="64" spans="1:44" ht="27.75" customHeight="1">
      <c r="O64" s="462"/>
      <c r="P64" s="1245"/>
      <c r="S64" s="1164"/>
      <c r="T64" s="2290"/>
      <c r="U64" s="2290"/>
      <c r="V64" s="2290"/>
      <c r="W64" s="2290"/>
      <c r="X64" s="2290"/>
      <c r="Y64" s="2290"/>
      <c r="Z64" s="2290"/>
      <c r="AA64" s="2290"/>
      <c r="AB64" s="2290"/>
      <c r="AC64" s="2290"/>
      <c r="AD64" s="2290"/>
      <c r="AE64" s="2290"/>
      <c r="AF64" s="2290"/>
      <c r="AG64" s="2290"/>
      <c r="AH64" s="2290"/>
      <c r="AI64" s="2290"/>
      <c r="AJ64" s="2290"/>
      <c r="AK64" s="2290"/>
      <c r="AL64" s="2290"/>
      <c r="AM64" s="2290"/>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28C4C-08BF-C5EA-2EC4-6C0D878C3C4A}">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2" style="1931" hidden="1" customWidth="1"/>
    <col min="10" max="10" width="9.85546875" style="1931" hidden="1" customWidth="1"/>
    <col min="11" max="11" width="11.42578125" style="1931" hidden="1" customWidth="1"/>
    <col min="12" max="12" width="19.140625" style="1932" hidden="1" customWidth="1"/>
    <col min="13" max="14" width="12.28515625" style="1933" hidden="1" customWidth="1"/>
    <col min="15" max="15" width="23.42578125" style="1933" hidden="1" customWidth="1"/>
    <col min="16" max="16" width="3.7109375" style="1937" customWidth="1"/>
    <col min="17" max="18" width="3.7109375" style="1939" customWidth="1"/>
    <col min="19" max="19" width="12.7109375" style="1940" customWidth="1"/>
    <col min="20" max="20" width="32" style="1905" customWidth="1"/>
    <col min="21" max="21" width="0.140625" style="1905" customWidth="1"/>
    <col min="22" max="22" width="24.7109375" style="1905" hidden="1" customWidth="1"/>
    <col min="23" max="23" width="0.140625" style="1905" hidden="1" customWidth="1"/>
    <col min="24" max="25" width="24.7109375" style="1905" hidden="1" customWidth="1"/>
    <col min="26" max="26" width="11.7109375" style="1905" hidden="1" customWidth="1"/>
    <col min="27" max="27" width="3.7109375" style="1905" hidden="1" customWidth="1"/>
    <col min="28" max="28" width="11.7109375" style="1905" hidden="1" customWidth="1"/>
    <col min="29" max="29" width="8.5703125" style="1905" hidden="1" customWidth="1"/>
    <col min="30" max="30" width="24.7109375" style="1905" customWidth="1"/>
    <col min="31" max="31" width="0.140625" style="1905" customWidth="1"/>
    <col min="32" max="33" width="24.7109375" style="1905" customWidth="1"/>
    <col min="34" max="34" width="11.7109375" style="1905" customWidth="1"/>
    <col min="35" max="35" width="3.7109375" style="1905" customWidth="1"/>
    <col min="36" max="36" width="11.7109375" style="1905" customWidth="1"/>
    <col min="37" max="37" width="8.5703125" style="1905" hidden="1" customWidth="1"/>
    <col min="38" max="38" width="4.7109375" style="1905" customWidth="1"/>
    <col min="39" max="39" width="115.7109375" style="1905" customWidth="1"/>
    <col min="40" max="41" width="10.5703125" style="1820"/>
    <col min="42" max="42" width="11.140625" style="1820" customWidth="1"/>
    <col min="43" max="44" width="10.5703125" style="1820"/>
  </cols>
  <sheetData>
    <row r="1" spans="1:44" ht="14.25" hidden="1" customHeight="1">
      <c r="Y1" s="253"/>
      <c r="Z1" s="253"/>
      <c r="AG1" s="253"/>
      <c r="AH1" s="253"/>
    </row>
    <row r="2" spans="1:44" ht="21" hidden="1" customHeight="1">
      <c r="A2" s="1279"/>
      <c r="B2" s="1279"/>
      <c r="C2" s="1279"/>
      <c r="D2" s="1279"/>
      <c r="E2" s="2270">
        <v>1</v>
      </c>
      <c r="F2" s="1279"/>
      <c r="G2" s="1279"/>
      <c r="H2" s="1279"/>
      <c r="I2" s="1279"/>
      <c r="J2" s="1279"/>
      <c r="K2" s="1279"/>
      <c r="L2" s="1280"/>
      <c r="M2" s="1281"/>
      <c r="N2" s="1281"/>
      <c r="O2" s="1281"/>
      <c r="P2" s="286"/>
      <c r="Q2" s="285"/>
      <c r="R2" s="280"/>
      <c r="S2" s="1253" t="e">
        <f>INDEX(PT_DIFFERENTIATION_NUM_NTAR,MATCH(A2,PT_DIFFERENTIATION_NTAR_ID,0))</f>
        <v>#N/A</v>
      </c>
      <c r="T2" s="216" t="s">
        <v>122</v>
      </c>
      <c r="U2" s="218"/>
      <c r="V2" s="2256"/>
      <c r="W2" s="2257"/>
      <c r="X2" s="2257"/>
      <c r="Y2" s="2257"/>
      <c r="Z2" s="2257"/>
      <c r="AA2" s="2257"/>
      <c r="AB2" s="2257"/>
      <c r="AC2" s="2258"/>
      <c r="AD2" s="2256" t="e">
        <f>INDEX(PT_DIFFERENTIATION_NTAR,MATCH(A2,PT_DIFFERENTIATION_NTAR_ID,0))</f>
        <v>#N/A</v>
      </c>
      <c r="AE2" s="2257"/>
      <c r="AF2" s="2257"/>
      <c r="AG2" s="2257"/>
      <c r="AH2" s="2257"/>
      <c r="AI2" s="2257"/>
      <c r="AJ2" s="2257"/>
      <c r="AK2" s="2257"/>
      <c r="AL2" s="2258"/>
      <c r="AM2" s="1177" t="s">
        <v>387</v>
      </c>
      <c r="AO2" s="426"/>
      <c r="AP2" s="426" t="str">
        <f t="shared" ref="AP2:AP15" si="0">IF(T2="","",T2)</f>
        <v>Наименование тарифа</v>
      </c>
      <c r="AQ2" s="426"/>
      <c r="AR2" s="426"/>
    </row>
    <row r="3" spans="1:44" ht="21" hidden="1" customHeight="1">
      <c r="A3" s="1279"/>
      <c r="B3" s="1279"/>
      <c r="C3" s="1279"/>
      <c r="D3" s="1279"/>
      <c r="E3" s="2271"/>
      <c r="F3" s="2270">
        <v>1</v>
      </c>
      <c r="G3" s="1279"/>
      <c r="H3" s="1279"/>
      <c r="I3" s="1279"/>
      <c r="J3" s="1279"/>
      <c r="K3" s="1279"/>
      <c r="L3" s="1280"/>
      <c r="M3" s="1281"/>
      <c r="N3" s="1281"/>
      <c r="O3" s="1281"/>
      <c r="P3" s="1249"/>
      <c r="Q3" s="277"/>
      <c r="R3" s="278"/>
      <c r="S3" s="1253" t="e">
        <f>INDEX(PT_DIFFERENTIATION_NUM_TER,MATCH(B3,PT_DIFFERENTIATION_TER_ID,0))</f>
        <v>#N/A</v>
      </c>
      <c r="T3" s="228" t="s">
        <v>388</v>
      </c>
      <c r="U3" s="218"/>
      <c r="V3" s="2256"/>
      <c r="W3" s="2257"/>
      <c r="X3" s="2257"/>
      <c r="Y3" s="2257"/>
      <c r="Z3" s="2257"/>
      <c r="AA3" s="2257"/>
      <c r="AB3" s="2257"/>
      <c r="AC3" s="2258"/>
      <c r="AD3" s="2256" t="e">
        <f>INDEX(PT_DIFFERENTIATION_TER,MATCH(B3,PT_DIFFERENTIATION_TER_ID,0))</f>
        <v>#N/A</v>
      </c>
      <c r="AE3" s="2257"/>
      <c r="AF3" s="2257"/>
      <c r="AG3" s="2257"/>
      <c r="AH3" s="2257"/>
      <c r="AI3" s="2257"/>
      <c r="AJ3" s="2257"/>
      <c r="AK3" s="2257"/>
      <c r="AL3" s="2258"/>
      <c r="AM3" s="1177" t="s">
        <v>389</v>
      </c>
      <c r="AO3" s="426"/>
      <c r="AP3" s="426" t="str">
        <f t="shared" si="0"/>
        <v>Территория действия тарифа</v>
      </c>
      <c r="AQ3" s="426"/>
      <c r="AR3" s="426"/>
    </row>
    <row r="4" spans="1:44" ht="23.25" hidden="1" customHeight="1">
      <c r="A4" s="1279"/>
      <c r="B4" s="1279"/>
      <c r="C4" s="1279"/>
      <c r="D4" s="1279"/>
      <c r="E4" s="2271"/>
      <c r="F4" s="2271"/>
      <c r="G4" s="2270">
        <v>1</v>
      </c>
      <c r="H4" s="1279"/>
      <c r="I4" s="1279"/>
      <c r="J4" s="1279"/>
      <c r="K4" s="1279"/>
      <c r="L4" s="1280"/>
      <c r="M4" s="1281"/>
      <c r="N4" s="1281"/>
      <c r="O4" s="1281"/>
      <c r="P4" s="279"/>
      <c r="Q4" s="277"/>
      <c r="R4" s="278"/>
      <c r="S4" s="1253" t="e">
        <f>INDEX(PT_DIFFERENTIATION_NUM_CS,MATCH(C4,PT_DIFFERENTIATION_CS_ID,0))</f>
        <v>#N/A</v>
      </c>
      <c r="T4" s="229" t="s">
        <v>390</v>
      </c>
      <c r="U4" s="218"/>
      <c r="V4" s="2256"/>
      <c r="W4" s="2257"/>
      <c r="X4" s="2257"/>
      <c r="Y4" s="2257"/>
      <c r="Z4" s="2257"/>
      <c r="AA4" s="2257"/>
      <c r="AB4" s="2257"/>
      <c r="AC4" s="2258"/>
      <c r="AD4" s="2256" t="e">
        <f>INDEX(PT_DIFFERENTIATION_CS,MATCH(C4,PT_DIFFERENTIATION_CS_ID,0))</f>
        <v>#N/A</v>
      </c>
      <c r="AE4" s="2257"/>
      <c r="AF4" s="2257"/>
      <c r="AG4" s="2257"/>
      <c r="AH4" s="2257"/>
      <c r="AI4" s="2257"/>
      <c r="AJ4" s="2257"/>
      <c r="AK4" s="2257"/>
      <c r="AL4" s="2258"/>
      <c r="AM4" s="1177" t="s">
        <v>391</v>
      </c>
      <c r="AO4" s="426"/>
      <c r="AP4" s="426" t="str">
        <f t="shared" si="0"/>
        <v xml:space="preserve">Наименование системы теплоснабжения </v>
      </c>
      <c r="AQ4" s="426"/>
      <c r="AR4" s="426"/>
    </row>
    <row r="5" spans="1:44" ht="21" hidden="1" customHeight="1">
      <c r="A5" s="1279"/>
      <c r="B5" s="1279"/>
      <c r="C5" s="1279"/>
      <c r="D5" s="1279"/>
      <c r="E5" s="2271"/>
      <c r="F5" s="2271"/>
      <c r="G5" s="2271"/>
      <c r="H5" s="2270">
        <v>1</v>
      </c>
      <c r="I5" s="1279"/>
      <c r="J5" s="1279"/>
      <c r="K5" s="1279"/>
      <c r="L5" s="1280"/>
      <c r="M5" s="1281"/>
      <c r="N5" s="1281"/>
      <c r="O5" s="1281"/>
      <c r="P5" s="279"/>
      <c r="Q5" s="277"/>
      <c r="R5" s="278"/>
      <c r="S5" s="1253" t="e">
        <f>INDEX(PT_DIFFERENTIATION_NUM_IST_TE,MATCH(D5,PT_DIFFERENTIATION_IST_TE_ID,0))</f>
        <v>#N/A</v>
      </c>
      <c r="T5" s="230" t="s">
        <v>392</v>
      </c>
      <c r="U5" s="218"/>
      <c r="V5" s="2256"/>
      <c r="W5" s="2257"/>
      <c r="X5" s="2257"/>
      <c r="Y5" s="2257"/>
      <c r="Z5" s="2257"/>
      <c r="AA5" s="2257"/>
      <c r="AB5" s="2257"/>
      <c r="AC5" s="2258"/>
      <c r="AD5" s="2256" t="e">
        <f>INDEX(PT_DIFFERENTIATION_IST_TE,MATCH(D5,PT_DIFFERENTIATION_IST_TE_ID,0))</f>
        <v>#N/A</v>
      </c>
      <c r="AE5" s="2257"/>
      <c r="AF5" s="2257"/>
      <c r="AG5" s="2257"/>
      <c r="AH5" s="2257"/>
      <c r="AI5" s="2257"/>
      <c r="AJ5" s="2257"/>
      <c r="AK5" s="2257"/>
      <c r="AL5" s="2258"/>
      <c r="AM5" s="1177" t="s">
        <v>393</v>
      </c>
      <c r="AO5" s="426"/>
      <c r="AP5" s="426" t="str">
        <f t="shared" si="0"/>
        <v xml:space="preserve">Источник тепловой энергии  </v>
      </c>
      <c r="AQ5" s="426"/>
      <c r="AR5" s="426"/>
    </row>
    <row r="6" spans="1:44" ht="47.25" hidden="1" customHeight="1">
      <c r="A6" s="1279"/>
      <c r="B6" s="1279"/>
      <c r="C6" s="1279"/>
      <c r="D6" s="1279"/>
      <c r="E6" s="2271"/>
      <c r="F6" s="2271"/>
      <c r="G6" s="2271"/>
      <c r="H6" s="2271"/>
      <c r="I6" s="2268" t="e">
        <f>S5&amp;".1"</f>
        <v>#N/A</v>
      </c>
      <c r="J6" s="1279"/>
      <c r="K6" s="1279"/>
      <c r="L6" s="1280" t="s">
        <v>394</v>
      </c>
      <c r="M6" s="462"/>
      <c r="P6" s="2269">
        <v>1</v>
      </c>
      <c r="Q6" s="1248"/>
      <c r="R6" s="281"/>
      <c r="S6" s="1253" t="e">
        <f>$I6</f>
        <v>#N/A</v>
      </c>
      <c r="T6" s="203" t="s">
        <v>395</v>
      </c>
      <c r="U6" s="218"/>
      <c r="V6" s="2259"/>
      <c r="W6" s="2260"/>
      <c r="X6" s="2260"/>
      <c r="Y6" s="2260"/>
      <c r="Z6" s="2260"/>
      <c r="AA6" s="2260"/>
      <c r="AB6" s="2260"/>
      <c r="AC6" s="2261"/>
      <c r="AD6" s="2259"/>
      <c r="AE6" s="2260"/>
      <c r="AF6" s="2260"/>
      <c r="AG6" s="2260"/>
      <c r="AH6" s="2260"/>
      <c r="AI6" s="2260"/>
      <c r="AJ6" s="2260"/>
      <c r="AK6" s="2260"/>
      <c r="AL6" s="2261"/>
      <c r="AM6" s="1177" t="s">
        <v>396</v>
      </c>
      <c r="AO6" s="426"/>
      <c r="AP6" s="426" t="str">
        <f t="shared" si="0"/>
        <v>Схема подключения теплопотребляющей установки к коллектору источника тепловой энергии</v>
      </c>
      <c r="AQ6" s="426"/>
      <c r="AR6" s="426"/>
    </row>
    <row r="7" spans="1:44" ht="21" hidden="1" customHeight="1">
      <c r="A7" s="1279"/>
      <c r="B7" s="1279"/>
      <c r="C7" s="1279"/>
      <c r="D7" s="1279"/>
      <c r="E7" s="2271"/>
      <c r="F7" s="2271"/>
      <c r="G7" s="2271"/>
      <c r="H7" s="2271"/>
      <c r="I7" s="2291"/>
      <c r="J7" s="2268" t="e">
        <f>I6&amp;".1"</f>
        <v>#N/A</v>
      </c>
      <c r="K7" s="1279"/>
      <c r="L7" s="1280" t="s">
        <v>397</v>
      </c>
      <c r="M7" s="462"/>
      <c r="N7" s="1282"/>
      <c r="P7" s="2269"/>
      <c r="Q7" s="2269">
        <v>1</v>
      </c>
      <c r="R7" s="282"/>
      <c r="S7" s="1253" t="e">
        <f>$J7</f>
        <v>#N/A</v>
      </c>
      <c r="T7" s="204" t="s">
        <v>398</v>
      </c>
      <c r="U7" s="218"/>
      <c r="V7" s="2259"/>
      <c r="W7" s="2260"/>
      <c r="X7" s="2260"/>
      <c r="Y7" s="2260"/>
      <c r="Z7" s="2260"/>
      <c r="AA7" s="2260"/>
      <c r="AB7" s="2260"/>
      <c r="AC7" s="2261"/>
      <c r="AD7" s="2259"/>
      <c r="AE7" s="2260"/>
      <c r="AF7" s="2260"/>
      <c r="AG7" s="2260"/>
      <c r="AH7" s="2260"/>
      <c r="AI7" s="2260"/>
      <c r="AJ7" s="2260"/>
      <c r="AK7" s="2260"/>
      <c r="AL7" s="2261"/>
      <c r="AM7" s="1177" t="s">
        <v>399</v>
      </c>
      <c r="AO7" s="426"/>
      <c r="AP7" s="426" t="str">
        <f t="shared" si="0"/>
        <v>Группа потребителей</v>
      </c>
      <c r="AQ7" s="426"/>
      <c r="AR7" s="426"/>
    </row>
    <row r="8" spans="1:44" ht="21" hidden="1" customHeight="1">
      <c r="A8" s="1279"/>
      <c r="B8" s="1279"/>
      <c r="C8" s="1279"/>
      <c r="D8" s="1279"/>
      <c r="E8" s="2271"/>
      <c r="F8" s="2271"/>
      <c r="G8" s="2271"/>
      <c r="H8" s="2271"/>
      <c r="I8" s="2291"/>
      <c r="J8" s="2291"/>
      <c r="K8" s="2268" t="e">
        <f>J7&amp;".1"</f>
        <v>#N/A</v>
      </c>
      <c r="L8" s="1280" t="s">
        <v>400</v>
      </c>
      <c r="M8" s="462"/>
      <c r="N8" s="1282"/>
      <c r="O8" s="1282"/>
      <c r="P8" s="2269"/>
      <c r="Q8" s="2269"/>
      <c r="R8" s="282">
        <v>1</v>
      </c>
      <c r="S8" s="1253" t="e">
        <f>$K8</f>
        <v>#N/A</v>
      </c>
      <c r="T8" s="1264"/>
      <c r="U8" s="218"/>
      <c r="V8" s="668"/>
      <c r="W8" s="250"/>
      <c r="X8" s="668"/>
      <c r="Y8" s="1176"/>
      <c r="Z8" s="2273"/>
      <c r="AA8" s="2124" t="s">
        <v>61</v>
      </c>
      <c r="AB8" s="2273"/>
      <c r="AC8" s="2124" t="s">
        <v>61</v>
      </c>
      <c r="AD8" s="668"/>
      <c r="AE8" s="250"/>
      <c r="AF8" s="668"/>
      <c r="AG8" s="1176"/>
      <c r="AH8" s="2273"/>
      <c r="AI8" s="2124" t="s">
        <v>61</v>
      </c>
      <c r="AJ8" s="2273"/>
      <c r="AK8" s="2124" t="s">
        <v>61</v>
      </c>
      <c r="AL8" s="250"/>
      <c r="AM8" s="2265" t="s">
        <v>401</v>
      </c>
      <c r="AN8" s="437" t="e">
        <f ca="1">STRCHECKDATE(V9:AL9)</f>
        <v>#NAME?</v>
      </c>
      <c r="AO8" s="426"/>
      <c r="AP8" s="426" t="str">
        <f t="shared" si="0"/>
        <v/>
      </c>
      <c r="AQ8" s="426"/>
      <c r="AR8" s="426"/>
    </row>
    <row r="9" spans="1:44" ht="0.75" hidden="1" customHeight="1">
      <c r="A9" s="1279"/>
      <c r="B9" s="1279"/>
      <c r="C9" s="1279"/>
      <c r="D9" s="1279"/>
      <c r="E9" s="2271"/>
      <c r="F9" s="2271"/>
      <c r="G9" s="2271"/>
      <c r="H9" s="2271"/>
      <c r="I9" s="2291"/>
      <c r="J9" s="2291"/>
      <c r="K9" s="2268"/>
      <c r="L9" s="1280"/>
      <c r="M9" s="462"/>
      <c r="N9" s="1282"/>
      <c r="O9" s="1282"/>
      <c r="P9" s="2269"/>
      <c r="Q9" s="2269"/>
      <c r="R9" s="282"/>
      <c r="S9" s="1259"/>
      <c r="T9" s="218"/>
      <c r="U9" s="218"/>
      <c r="V9" s="250"/>
      <c r="W9" s="250"/>
      <c r="X9" s="250"/>
      <c r="Y9" s="254" t="str">
        <f>Z8&amp;"-"&amp;AB8</f>
        <v>-</v>
      </c>
      <c r="Z9" s="2274"/>
      <c r="AA9" s="2124"/>
      <c r="AB9" s="2274"/>
      <c r="AC9" s="2124"/>
      <c r="AD9" s="250"/>
      <c r="AE9" s="250"/>
      <c r="AF9" s="250"/>
      <c r="AG9" s="254" t="str">
        <f>AH8&amp;"-"&amp;AJ8</f>
        <v>-</v>
      </c>
      <c r="AH9" s="2274"/>
      <c r="AI9" s="2124"/>
      <c r="AJ9" s="2274"/>
      <c r="AK9" s="2124"/>
      <c r="AL9" s="250"/>
      <c r="AM9" s="2266"/>
      <c r="AO9" s="426"/>
      <c r="AP9" s="426" t="str">
        <f t="shared" si="0"/>
        <v/>
      </c>
      <c r="AQ9" s="426"/>
      <c r="AR9" s="426"/>
    </row>
    <row r="10" spans="1:44" ht="15" hidden="1" customHeight="1">
      <c r="A10" s="1279"/>
      <c r="B10" s="1279"/>
      <c r="C10" s="1279"/>
      <c r="D10" s="1279"/>
      <c r="E10" s="2271"/>
      <c r="F10" s="2271"/>
      <c r="G10" s="2271"/>
      <c r="H10" s="2271"/>
      <c r="I10" s="2291"/>
      <c r="J10" s="2268"/>
      <c r="K10" s="1279"/>
      <c r="L10" s="1280"/>
      <c r="M10" s="462"/>
      <c r="N10" s="1282"/>
      <c r="P10" s="2269"/>
      <c r="Q10" s="2269"/>
      <c r="R10" s="281"/>
      <c r="S10" s="1198"/>
      <c r="T10" s="206" t="s">
        <v>402</v>
      </c>
      <c r="U10" s="295"/>
      <c r="V10" s="295"/>
      <c r="W10" s="295"/>
      <c r="X10" s="295"/>
      <c r="Y10" s="295"/>
      <c r="Z10" s="295"/>
      <c r="AA10" s="295"/>
      <c r="AB10" s="295"/>
      <c r="AC10" s="295"/>
      <c r="AD10" s="295"/>
      <c r="AE10" s="295"/>
      <c r="AF10" s="295"/>
      <c r="AG10" s="295"/>
      <c r="AH10" s="295"/>
      <c r="AI10" s="295"/>
      <c r="AJ10" s="295"/>
      <c r="AK10" s="295"/>
      <c r="AL10" s="249"/>
      <c r="AM10" s="2267"/>
      <c r="AO10" s="426"/>
      <c r="AP10" s="426" t="str">
        <f t="shared" si="0"/>
        <v>Добавить вид теплоносителя (параметры теплоносителя)</v>
      </c>
      <c r="AQ10" s="426"/>
      <c r="AR10" s="426"/>
    </row>
    <row r="11" spans="1:44" ht="15" hidden="1" customHeight="1">
      <c r="A11" s="1279"/>
      <c r="B11" s="1279"/>
      <c r="C11" s="1279"/>
      <c r="D11" s="1279"/>
      <c r="E11" s="2271"/>
      <c r="F11" s="2271"/>
      <c r="G11" s="2271"/>
      <c r="H11" s="2271"/>
      <c r="I11" s="2268"/>
      <c r="J11" s="1279"/>
      <c r="K11" s="1279"/>
      <c r="L11" s="1280"/>
      <c r="M11" s="462"/>
      <c r="P11" s="2269"/>
      <c r="Q11" s="1248"/>
      <c r="R11" s="281"/>
      <c r="S11" s="1198"/>
      <c r="T11" s="205" t="s">
        <v>403</v>
      </c>
      <c r="U11" s="295"/>
      <c r="V11" s="295"/>
      <c r="W11" s="295"/>
      <c r="X11" s="295"/>
      <c r="Y11" s="295"/>
      <c r="Z11" s="295"/>
      <c r="AA11" s="295"/>
      <c r="AB11" s="295"/>
      <c r="AC11" s="294"/>
      <c r="AD11" s="295"/>
      <c r="AE11" s="295"/>
      <c r="AF11" s="295"/>
      <c r="AG11" s="295"/>
      <c r="AH11" s="295"/>
      <c r="AI11" s="295"/>
      <c r="AJ11" s="295"/>
      <c r="AK11" s="294"/>
      <c r="AL11" s="295"/>
      <c r="AM11" s="221"/>
      <c r="AO11" s="426"/>
      <c r="AP11" s="426" t="str">
        <f t="shared" si="0"/>
        <v>Добавить группу потребителей</v>
      </c>
      <c r="AQ11" s="426"/>
      <c r="AR11" s="426"/>
    </row>
    <row r="12" spans="1:44" ht="14.25" hidden="1" customHeight="1">
      <c r="A12" s="1279"/>
      <c r="B12" s="1279"/>
      <c r="C12" s="1279"/>
      <c r="D12" s="1279"/>
      <c r="E12" s="2271"/>
      <c r="F12" s="2271"/>
      <c r="G12" s="2271"/>
      <c r="H12" s="2270"/>
      <c r="I12" s="1279"/>
      <c r="J12" s="1279"/>
      <c r="K12" s="1279"/>
      <c r="L12" s="1280"/>
      <c r="M12" s="1281"/>
      <c r="N12" s="1281"/>
      <c r="O12" s="462"/>
      <c r="P12" s="285"/>
      <c r="Q12" s="304"/>
      <c r="R12" s="280"/>
      <c r="S12" s="1198"/>
      <c r="T12" s="292" t="s">
        <v>404</v>
      </c>
      <c r="U12" s="295"/>
      <c r="V12" s="295"/>
      <c r="W12" s="295"/>
      <c r="X12" s="295"/>
      <c r="Y12" s="295"/>
      <c r="Z12" s="295"/>
      <c r="AA12" s="295"/>
      <c r="AB12" s="295"/>
      <c r="AC12" s="294"/>
      <c r="AD12" s="295"/>
      <c r="AE12" s="295"/>
      <c r="AF12" s="295"/>
      <c r="AG12" s="295"/>
      <c r="AH12" s="295"/>
      <c r="AI12" s="295"/>
      <c r="AJ12" s="295"/>
      <c r="AK12" s="294"/>
      <c r="AL12" s="295"/>
      <c r="AM12" s="221"/>
      <c r="AO12" s="426"/>
      <c r="AP12" s="426" t="str">
        <f t="shared" si="0"/>
        <v>Добавить схему подключения</v>
      </c>
      <c r="AQ12" s="426"/>
      <c r="AR12" s="426"/>
    </row>
    <row r="13" spans="1:44" s="1930" customFormat="1" ht="0.75" hidden="1" customHeight="1">
      <c r="A13" s="1232"/>
      <c r="B13" s="1232"/>
      <c r="C13" s="1232"/>
      <c r="D13" s="1232"/>
      <c r="E13" s="2271"/>
      <c r="F13" s="2271"/>
      <c r="G13" s="2270"/>
      <c r="H13" s="1232"/>
      <c r="I13" s="1232"/>
      <c r="J13" s="1232"/>
      <c r="K13" s="1232"/>
      <c r="L13" s="1256"/>
      <c r="M13" s="1233"/>
      <c r="N13" s="1233"/>
      <c r="P13" s="1234"/>
      <c r="Q13" s="1235"/>
      <c r="R13" s="1234"/>
      <c r="S13" s="1236"/>
      <c r="T13" s="1237" t="s">
        <v>405</v>
      </c>
      <c r="U13" s="1238"/>
      <c r="V13" s="1238"/>
      <c r="W13" s="1238"/>
      <c r="X13" s="1238"/>
      <c r="Y13" s="1238"/>
      <c r="Z13" s="1238"/>
      <c r="AA13" s="1238"/>
      <c r="AB13" s="1238"/>
      <c r="AC13" s="1238"/>
      <c r="AD13" s="1238"/>
      <c r="AE13" s="1238"/>
      <c r="AF13" s="1238"/>
      <c r="AG13" s="1238"/>
      <c r="AH13" s="1238"/>
      <c r="AI13" s="1238"/>
      <c r="AJ13" s="1238"/>
      <c r="AK13" s="1238"/>
      <c r="AL13" s="1238"/>
      <c r="AM13" s="1238"/>
      <c r="AO13" s="706"/>
      <c r="AP13" s="706" t="str">
        <f t="shared" si="0"/>
        <v>Добавить источник для дифференциации</v>
      </c>
      <c r="AQ13" s="706"/>
      <c r="AR13" s="706"/>
    </row>
    <row r="14" spans="1:44" s="1930" customFormat="1" ht="0.75" hidden="1" customHeight="1">
      <c r="A14" s="1232"/>
      <c r="B14" s="1232"/>
      <c r="C14" s="1232"/>
      <c r="D14" s="1232"/>
      <c r="E14" s="2271"/>
      <c r="F14" s="2270"/>
      <c r="G14" s="1232"/>
      <c r="H14" s="1232"/>
      <c r="I14" s="1232"/>
      <c r="J14" s="1232"/>
      <c r="K14" s="1232"/>
      <c r="L14" s="1256"/>
      <c r="M14" s="1239"/>
      <c r="N14" s="1239"/>
      <c r="P14" s="1234"/>
      <c r="Q14" s="1235"/>
      <c r="R14" s="1234"/>
      <c r="S14" s="1240"/>
      <c r="T14" s="1241" t="s">
        <v>215</v>
      </c>
      <c r="U14" s="1242"/>
      <c r="V14" s="1242"/>
      <c r="W14" s="1242"/>
      <c r="X14" s="1242"/>
      <c r="Y14" s="1242"/>
      <c r="Z14" s="1242"/>
      <c r="AA14" s="1242"/>
      <c r="AB14" s="1242"/>
      <c r="AC14" s="1242"/>
      <c r="AD14" s="1242"/>
      <c r="AE14" s="1242"/>
      <c r="AF14" s="1242"/>
      <c r="AG14" s="1242"/>
      <c r="AH14" s="1242"/>
      <c r="AI14" s="1242"/>
      <c r="AJ14" s="1242"/>
      <c r="AK14" s="1242"/>
      <c r="AL14" s="1242"/>
      <c r="AM14" s="1242"/>
      <c r="AO14" s="706"/>
      <c r="AP14" s="706" t="str">
        <f t="shared" si="0"/>
        <v>Добавить централизованную систему для дифференциации</v>
      </c>
      <c r="AQ14" s="706"/>
      <c r="AR14" s="706"/>
    </row>
    <row r="15" spans="1:44" s="1930" customFormat="1" ht="0.75" hidden="1" customHeight="1">
      <c r="A15" s="1232"/>
      <c r="B15" s="1232"/>
      <c r="C15" s="1232"/>
      <c r="D15" s="1232"/>
      <c r="E15" s="2270"/>
      <c r="F15" s="1232"/>
      <c r="G15" s="1232"/>
      <c r="H15" s="1232"/>
      <c r="I15" s="1232"/>
      <c r="J15" s="1232"/>
      <c r="K15" s="1232"/>
      <c r="L15" s="1256"/>
      <c r="M15" s="1239"/>
      <c r="N15" s="1239"/>
      <c r="P15" s="1234"/>
      <c r="Q15" s="1235"/>
      <c r="R15" s="1234"/>
      <c r="S15" s="1240"/>
      <c r="T15" s="1243" t="s">
        <v>216</v>
      </c>
      <c r="U15" s="1242"/>
      <c r="V15" s="1242"/>
      <c r="W15" s="1242"/>
      <c r="X15" s="1242"/>
      <c r="Y15" s="1242"/>
      <c r="Z15" s="1242"/>
      <c r="AA15" s="1242"/>
      <c r="AB15" s="1242"/>
      <c r="AC15" s="1242"/>
      <c r="AD15" s="1242"/>
      <c r="AE15" s="1242"/>
      <c r="AF15" s="1242"/>
      <c r="AG15" s="1242"/>
      <c r="AH15" s="1242"/>
      <c r="AI15" s="1242"/>
      <c r="AJ15" s="1242"/>
      <c r="AK15" s="1242"/>
      <c r="AL15" s="1242"/>
      <c r="AM15" s="1242"/>
      <c r="AO15" s="706"/>
      <c r="AP15" s="706" t="str">
        <f t="shared" si="0"/>
        <v>Добавить территорию для дифференциации</v>
      </c>
      <c r="AQ15" s="706"/>
      <c r="AR15" s="706"/>
    </row>
    <row r="16" spans="1:44" ht="14.25" hidden="1" customHeight="1">
      <c r="AC16" s="253"/>
      <c r="AK16" s="253"/>
    </row>
    <row r="17" spans="1:44" ht="14.25" hidden="1" customHeight="1">
      <c r="AD17" s="1276"/>
      <c r="AE17" s="1276"/>
      <c r="AF17" s="1276"/>
      <c r="AG17" s="1277"/>
      <c r="AH17" s="2275"/>
      <c r="AI17" s="2276" t="s">
        <v>61</v>
      </c>
      <c r="AJ17" s="2275"/>
      <c r="AK17" s="2276" t="s">
        <v>61</v>
      </c>
    </row>
    <row r="18" spans="1:44" ht="14.25" hidden="1" customHeight="1">
      <c r="AD18" s="1276"/>
      <c r="AE18" s="1276"/>
      <c r="AF18" s="1276"/>
      <c r="AG18" s="254" t="str">
        <f>AH17&amp;"-"&amp;AJ17</f>
        <v>-</v>
      </c>
      <c r="AH18" s="2276"/>
      <c r="AI18" s="2276"/>
      <c r="AJ18" s="2276"/>
      <c r="AK18" s="2276"/>
    </row>
    <row r="19" spans="1:44" ht="14.25" hidden="1" customHeight="1">
      <c r="AK19" s="253"/>
    </row>
    <row r="20" spans="1:44" s="1931" customFormat="1" ht="22.5" hidden="1" customHeight="1">
      <c r="L20" s="1246"/>
      <c r="M20" s="1278"/>
      <c r="N20" s="1278"/>
      <c r="O20" s="1283" t="s">
        <v>406</v>
      </c>
      <c r="P20" s="1278"/>
      <c r="Q20" s="1287"/>
      <c r="R20" s="1287"/>
      <c r="S20" s="648"/>
      <c r="Z20" s="1283"/>
      <c r="AB20" s="1283"/>
      <c r="AC20" s="1282"/>
      <c r="AH20" s="1283"/>
      <c r="AJ20" s="1283"/>
      <c r="AK20" s="1282"/>
      <c r="AN20" s="437"/>
      <c r="AO20" s="437"/>
      <c r="AP20" s="437"/>
      <c r="AQ20" s="437"/>
      <c r="AR20" s="437"/>
    </row>
    <row r="21" spans="1:44" s="1931" customFormat="1" ht="14.25" hidden="1" customHeight="1">
      <c r="L21" s="1246"/>
      <c r="M21" s="1278"/>
      <c r="N21" s="1278"/>
      <c r="O21" s="1278"/>
      <c r="P21" s="1278"/>
      <c r="Q21" s="1287"/>
      <c r="R21" s="1287"/>
      <c r="S21" s="648"/>
      <c r="AC21" s="1282"/>
      <c r="AK21" s="1282"/>
      <c r="AN21" s="437"/>
      <c r="AO21" s="437"/>
      <c r="AP21" s="437"/>
      <c r="AQ21" s="437"/>
      <c r="AR21" s="437"/>
    </row>
    <row r="22" spans="1:44" s="1931" customFormat="1" ht="14.25" hidden="1" customHeight="1">
      <c r="L22" s="1246"/>
      <c r="M22" s="1278"/>
      <c r="N22" s="1278"/>
      <c r="O22" s="1280" t="s">
        <v>407</v>
      </c>
      <c r="P22" s="1278"/>
      <c r="Q22" s="1287"/>
      <c r="R22" s="1287"/>
      <c r="S22" s="648"/>
      <c r="T22" s="1060" t="s">
        <v>408</v>
      </c>
      <c r="AA22" s="107" t="s">
        <v>409</v>
      </c>
      <c r="AC22" s="107" t="s">
        <v>410</v>
      </c>
      <c r="AD22" s="1060" t="s">
        <v>408</v>
      </c>
      <c r="AI22" s="107" t="s">
        <v>411</v>
      </c>
      <c r="AK22" s="107" t="s">
        <v>410</v>
      </c>
      <c r="AN22" s="437"/>
      <c r="AO22" s="437"/>
      <c r="AP22" s="437"/>
      <c r="AQ22" s="437"/>
      <c r="AR22" s="437"/>
    </row>
    <row r="23" spans="1:44" ht="14.25" hidden="1" customHeight="1">
      <c r="O23" s="1280"/>
    </row>
    <row r="24" spans="1:44" ht="14.25" hidden="1" customHeight="1">
      <c r="O24" s="1280"/>
    </row>
    <row r="25" spans="1:44" ht="14.25" customHeight="1">
      <c r="Q25" s="305"/>
      <c r="R25" s="305"/>
      <c r="S25" s="1195"/>
      <c r="T25" s="290"/>
      <c r="U25" s="290"/>
      <c r="V25" s="435"/>
      <c r="W25" s="435"/>
      <c r="X25" s="435"/>
      <c r="Y25" s="435"/>
      <c r="Z25" s="435"/>
      <c r="AA25" s="435"/>
      <c r="AB25" s="435"/>
      <c r="AC25" s="435"/>
      <c r="AD25" s="435"/>
      <c r="AE25" s="435"/>
      <c r="AF25" s="435"/>
      <c r="AG25" s="435"/>
      <c r="AH25" s="435"/>
      <c r="AI25" s="435"/>
      <c r="AJ25" s="435"/>
      <c r="AK25" s="435"/>
    </row>
    <row r="26" spans="1:44" ht="14.25" customHeight="1">
      <c r="Q26" s="305"/>
      <c r="R26" s="305"/>
      <c r="S26" s="225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4"/>
      <c r="U26" s="2254"/>
      <c r="V26" s="2254"/>
      <c r="W26" s="2254"/>
      <c r="X26" s="2254"/>
      <c r="Y26" s="2254"/>
      <c r="Z26" s="2254"/>
      <c r="AA26" s="2254"/>
      <c r="AB26" s="2254"/>
      <c r="AC26" s="2254"/>
      <c r="AD26" s="2254"/>
      <c r="AE26" s="2254"/>
      <c r="AF26" s="2254"/>
      <c r="AG26" s="2254"/>
      <c r="AH26" s="2254"/>
      <c r="AI26" s="2254"/>
      <c r="AJ26" s="2254"/>
      <c r="AK26" s="1152"/>
    </row>
    <row r="27" spans="1:44" ht="14.25" customHeight="1">
      <c r="Q27" s="305"/>
      <c r="R27" s="305"/>
      <c r="S27" s="2200" t="str">
        <f>IF(org=0,"Не определено",org)</f>
        <v>ПАО "Юнипро"</v>
      </c>
      <c r="T27" s="2200"/>
      <c r="U27" s="2200"/>
      <c r="V27" s="2200"/>
      <c r="W27" s="2200"/>
      <c r="X27" s="2200"/>
      <c r="Y27" s="2200"/>
      <c r="Z27" s="2200"/>
      <c r="AA27" s="2200"/>
      <c r="AB27" s="2200"/>
      <c r="AC27" s="2200"/>
      <c r="AD27" s="2200"/>
      <c r="AE27" s="2200"/>
      <c r="AF27" s="2200"/>
      <c r="AG27" s="2200"/>
      <c r="AH27" s="2200"/>
      <c r="AI27" s="2200"/>
      <c r="AJ27" s="2200"/>
      <c r="AK27" s="1152"/>
    </row>
    <row r="28" spans="1:44" ht="14.25" customHeight="1">
      <c r="Q28" s="305"/>
      <c r="R28" s="305"/>
      <c r="S28" s="1195"/>
      <c r="T28" s="290"/>
      <c r="U28" s="290"/>
      <c r="V28" s="246"/>
      <c r="W28" s="246"/>
      <c r="X28" s="246"/>
      <c r="Y28" s="246"/>
      <c r="Z28" s="246"/>
      <c r="AA28" s="246"/>
      <c r="AB28" s="246"/>
      <c r="AC28" s="246"/>
      <c r="AD28" s="246"/>
      <c r="AE28" s="246"/>
      <c r="AF28" s="246"/>
      <c r="AG28" s="246"/>
      <c r="AH28" s="246"/>
      <c r="AI28" s="246"/>
      <c r="AJ28" s="246"/>
      <c r="AK28" s="246"/>
      <c r="AL28" s="435"/>
    </row>
    <row r="29" spans="1:44" s="1936" customFormat="1" ht="25.5" customHeight="1">
      <c r="A29" s="1284"/>
      <c r="B29" s="1284"/>
      <c r="C29" s="1284"/>
      <c r="D29" s="1284"/>
      <c r="E29" s="1284"/>
      <c r="F29" s="1284"/>
      <c r="G29" s="1284"/>
      <c r="H29" s="1284"/>
      <c r="I29" s="1284"/>
      <c r="J29" s="1284"/>
      <c r="K29" s="1284"/>
      <c r="L29" s="1285"/>
      <c r="M29" s="1284"/>
      <c r="N29" s="1284"/>
      <c r="O29" s="1284"/>
      <c r="S29" s="2262" t="s">
        <v>38</v>
      </c>
      <c r="T29" s="2262"/>
      <c r="U29" s="1288"/>
      <c r="V29" s="2263" t="str">
        <f>IF(TITLE_NAME_OR_PR_CHANGE="",IF(TITLE_NAME_OR_PR="","",TITLE_NAME_OR_PR),TITLE_NAME_OR_PR_CHANGE)</f>
        <v>Министерство тарифной политики Красноярского края</v>
      </c>
      <c r="W29" s="2263"/>
      <c r="X29" s="2263"/>
      <c r="Y29" s="2263"/>
      <c r="Z29" s="2263"/>
      <c r="AA29" s="2263"/>
      <c r="AB29" s="2263"/>
      <c r="AC29" s="252"/>
      <c r="AD29" s="2263" t="str">
        <f>IF(TITLE_NAME_OR_PR_CHANGE="",IF(TITLE_NAME_OR_PR="","",TITLE_NAME_OR_PR),TITLE_NAME_OR_PR_CHANGE)</f>
        <v>Министерство тарифной политики Красноярского края</v>
      </c>
      <c r="AE29" s="2263"/>
      <c r="AF29" s="2263"/>
      <c r="AG29" s="2263"/>
      <c r="AH29" s="2263"/>
      <c r="AI29" s="2263"/>
      <c r="AJ29" s="2263"/>
      <c r="AK29" s="252"/>
      <c r="AL29" s="252"/>
      <c r="AM29" s="199"/>
      <c r="AN29" s="296"/>
      <c r="AO29" s="296"/>
      <c r="AP29" s="296"/>
      <c r="AQ29" s="296"/>
      <c r="AR29" s="296"/>
    </row>
    <row r="30" spans="1:44" s="1936" customFormat="1" ht="18.75" customHeight="1">
      <c r="A30" s="1284"/>
      <c r="B30" s="1284"/>
      <c r="C30" s="1284"/>
      <c r="D30" s="1284"/>
      <c r="E30" s="1284"/>
      <c r="F30" s="1284"/>
      <c r="G30" s="1284"/>
      <c r="H30" s="1284"/>
      <c r="I30" s="1284"/>
      <c r="J30" s="1284"/>
      <c r="K30" s="1284"/>
      <c r="L30" s="1285"/>
      <c r="M30" s="1284"/>
      <c r="N30" s="1284"/>
      <c r="O30" s="1284"/>
      <c r="S30" s="2262" t="s">
        <v>412</v>
      </c>
      <c r="T30" s="2262"/>
      <c r="U30" s="1288"/>
      <c r="V30" s="2272">
        <f>IF(TITLE_DATE_PR_CHANGE="",IF(TITLE_DATE_PR="","",TITLE_DATE_PR),TITLE_DATE_PR_CHANGE)</f>
        <v>45278.357847222222</v>
      </c>
      <c r="W30" s="2272"/>
      <c r="X30" s="2272"/>
      <c r="Y30" s="2272"/>
      <c r="Z30" s="2272"/>
      <c r="AA30" s="2272"/>
      <c r="AB30" s="2272"/>
      <c r="AC30" s="252"/>
      <c r="AD30" s="2272">
        <f>IF(TITLE_DATE_PR_CHANGE="",IF(TITLE_DATE_PR="","",TITLE_DATE_PR),TITLE_DATE_PR_CHANGE)</f>
        <v>45278.357847222222</v>
      </c>
      <c r="AE30" s="2272"/>
      <c r="AF30" s="2272"/>
      <c r="AG30" s="2272"/>
      <c r="AH30" s="2272"/>
      <c r="AI30" s="2272"/>
      <c r="AJ30" s="2272"/>
      <c r="AK30" s="252"/>
      <c r="AL30" s="252"/>
      <c r="AM30" s="199"/>
      <c r="AN30" s="296"/>
      <c r="AO30" s="296"/>
      <c r="AP30" s="296"/>
      <c r="AQ30" s="296"/>
      <c r="AR30" s="296"/>
    </row>
    <row r="31" spans="1:44" s="1936" customFormat="1" ht="18.75" customHeight="1">
      <c r="A31" s="1284"/>
      <c r="B31" s="1284"/>
      <c r="C31" s="1284"/>
      <c r="D31" s="1284"/>
      <c r="E31" s="1284"/>
      <c r="F31" s="1284"/>
      <c r="G31" s="1284"/>
      <c r="H31" s="1284"/>
      <c r="I31" s="1284"/>
      <c r="J31" s="1284"/>
      <c r="K31" s="1284"/>
      <c r="L31" s="1285"/>
      <c r="M31" s="1284"/>
      <c r="N31" s="1284"/>
      <c r="O31" s="1284"/>
      <c r="S31" s="2262" t="s">
        <v>413</v>
      </c>
      <c r="T31" s="2262"/>
      <c r="U31" s="1288"/>
      <c r="V31" s="2263" t="str">
        <f>IF(TITLE_NUMBER_PR_CHANGE="",IF(TITLE_NUMBER_PR="","",TITLE_NUMBER_PR),TITLE_NUMBER_PR_CHANGE)</f>
        <v>924-в</v>
      </c>
      <c r="W31" s="2263"/>
      <c r="X31" s="2263"/>
      <c r="Y31" s="2263"/>
      <c r="Z31" s="2263"/>
      <c r="AA31" s="2263"/>
      <c r="AB31" s="2263"/>
      <c r="AC31" s="252"/>
      <c r="AD31" s="2263" t="str">
        <f>IF(TITLE_NUMBER_PR_CHANGE="",IF(TITLE_NUMBER_PR="","",TITLE_NUMBER_PR),TITLE_NUMBER_PR_CHANGE)</f>
        <v>924-в</v>
      </c>
      <c r="AE31" s="2263"/>
      <c r="AF31" s="2263"/>
      <c r="AG31" s="2263"/>
      <c r="AH31" s="2263"/>
      <c r="AI31" s="2263"/>
      <c r="AJ31" s="2263"/>
      <c r="AK31" s="252"/>
      <c r="AL31" s="252"/>
      <c r="AM31" s="199"/>
      <c r="AN31" s="296"/>
      <c r="AO31" s="296"/>
      <c r="AP31" s="296"/>
      <c r="AQ31" s="296"/>
      <c r="AR31" s="296"/>
    </row>
    <row r="32" spans="1:44" s="1936" customFormat="1" ht="18.75" customHeight="1">
      <c r="A32" s="1284"/>
      <c r="B32" s="1284"/>
      <c r="C32" s="1284"/>
      <c r="D32" s="1284"/>
      <c r="E32" s="1284"/>
      <c r="F32" s="1284"/>
      <c r="G32" s="1284"/>
      <c r="H32" s="1284"/>
      <c r="I32" s="1284"/>
      <c r="J32" s="1284"/>
      <c r="K32" s="1284"/>
      <c r="L32" s="1285"/>
      <c r="M32" s="1284"/>
      <c r="N32" s="1284"/>
      <c r="O32" s="1284"/>
      <c r="S32" s="2262" t="s">
        <v>40</v>
      </c>
      <c r="T32" s="2262"/>
      <c r="U32" s="1288"/>
      <c r="V32" s="2263" t="str">
        <f>IF(TITLE_IST_PUB_CHANGE="",IF(TITLE_IST_PUB="","",TITLE_IST_PUB),TITLE_IST_PUB_CHANGE)</f>
        <v>Официальный интернет-портал правовой информации Красноярского края (http://www.zakon.krskstate.ru/)</v>
      </c>
      <c r="W32" s="2263"/>
      <c r="X32" s="2263"/>
      <c r="Y32" s="2263"/>
      <c r="Z32" s="2263"/>
      <c r="AA32" s="2263"/>
      <c r="AB32" s="2263"/>
      <c r="AC32" s="252"/>
      <c r="AD32" s="2263" t="str">
        <f>IF(TITLE_IST_PUB_CHANGE="",IF(TITLE_IST_PUB="","",TITLE_IST_PUB),TITLE_IST_PUB_CHANGE)</f>
        <v>Официальный интернет-портал правовой информации Красноярского края (http://www.zakon.krskstate.ru/)</v>
      </c>
      <c r="AE32" s="2263"/>
      <c r="AF32" s="2263"/>
      <c r="AG32" s="2263"/>
      <c r="AH32" s="2263"/>
      <c r="AI32" s="2263"/>
      <c r="AJ32" s="2263"/>
      <c r="AK32" s="252"/>
      <c r="AL32" s="252"/>
      <c r="AM32" s="199"/>
      <c r="AN32" s="296"/>
      <c r="AO32" s="296"/>
      <c r="AP32" s="296"/>
      <c r="AQ32" s="296"/>
      <c r="AR32" s="296"/>
    </row>
    <row r="33" spans="1:44" ht="14.25" hidden="1" customHeight="1">
      <c r="Q33" s="305"/>
      <c r="R33" s="305"/>
      <c r="S33" s="1195"/>
      <c r="T33" s="290"/>
      <c r="U33" s="290"/>
      <c r="V33" s="246"/>
      <c r="W33" s="246"/>
      <c r="X33" s="246"/>
      <c r="Y33" s="246"/>
      <c r="Z33" s="246"/>
      <c r="AA33" s="246"/>
      <c r="AB33" s="246"/>
      <c r="AC33" s="246"/>
      <c r="AD33" s="246"/>
      <c r="AE33" s="246"/>
      <c r="AF33" s="246"/>
      <c r="AG33" s="246"/>
      <c r="AH33" s="246"/>
      <c r="AI33" s="246"/>
      <c r="AJ33" s="246"/>
      <c r="AK33" s="246"/>
      <c r="AL33" s="435"/>
    </row>
    <row r="34" spans="1:44" s="1936" customFormat="1" ht="18.75" hidden="1" customHeight="1">
      <c r="A34" s="1284"/>
      <c r="B34" s="1284"/>
      <c r="C34" s="1284"/>
      <c r="D34" s="1284"/>
      <c r="E34" s="1284"/>
      <c r="F34" s="1284"/>
      <c r="G34" s="1284"/>
      <c r="H34" s="1284"/>
      <c r="I34" s="1284"/>
      <c r="J34" s="1284"/>
      <c r="K34" s="1284"/>
      <c r="L34" s="1285"/>
      <c r="M34" s="1284"/>
      <c r="N34" s="1284"/>
      <c r="O34" s="1284"/>
      <c r="S34" s="2262" t="s">
        <v>414</v>
      </c>
      <c r="T34" s="2262"/>
      <c r="U34" s="1288"/>
      <c r="V34" s="2272">
        <f>IF(TITLE_DATE_PR_CHANGE="",IF(TITLE_DATE_PR="","",TITLE_DATE_PR),TITLE_DATE_PR_CHANGE)</f>
        <v>45278.357847222222</v>
      </c>
      <c r="W34" s="2272"/>
      <c r="X34" s="2272"/>
      <c r="Y34" s="2272"/>
      <c r="Z34" s="2272"/>
      <c r="AA34" s="2272"/>
      <c r="AB34" s="2272"/>
      <c r="AC34" s="252"/>
      <c r="AD34" s="2272">
        <f>IF(TITLE_DATE_PR_CHANGE="",IF(TITLE_DATE_PR="","",TITLE_DATE_PR),TITLE_DATE_PR_CHANGE)</f>
        <v>45278.357847222222</v>
      </c>
      <c r="AE34" s="2272"/>
      <c r="AF34" s="2272"/>
      <c r="AG34" s="2272"/>
      <c r="AH34" s="2272"/>
      <c r="AI34" s="2272"/>
      <c r="AJ34" s="2272"/>
      <c r="AK34" s="252"/>
      <c r="AL34" s="252"/>
      <c r="AM34" s="199"/>
      <c r="AN34" s="296"/>
      <c r="AO34" s="296"/>
      <c r="AP34" s="296"/>
      <c r="AQ34" s="296"/>
      <c r="AR34" s="296"/>
    </row>
    <row r="35" spans="1:44" s="1936" customFormat="1" ht="18.75" hidden="1" customHeight="1">
      <c r="A35" s="1284"/>
      <c r="B35" s="1284"/>
      <c r="C35" s="1284"/>
      <c r="D35" s="1284"/>
      <c r="E35" s="1284"/>
      <c r="F35" s="1284"/>
      <c r="G35" s="1284"/>
      <c r="H35" s="1284"/>
      <c r="I35" s="1284"/>
      <c r="J35" s="1284"/>
      <c r="K35" s="1284"/>
      <c r="L35" s="1285"/>
      <c r="M35" s="1284"/>
      <c r="N35" s="1284"/>
      <c r="O35" s="1284"/>
      <c r="S35" s="2262" t="s">
        <v>415</v>
      </c>
      <c r="T35" s="2262"/>
      <c r="U35" s="1288"/>
      <c r="V35" s="2263" t="str">
        <f>IF(TITLE_NUMBER_PR_CHANGE="",IF(TITLE_NUMBER_PR="","",TITLE_NUMBER_PR),TITLE_NUMBER_PR_CHANGE)</f>
        <v>924-в</v>
      </c>
      <c r="W35" s="2263"/>
      <c r="X35" s="2263"/>
      <c r="Y35" s="2263"/>
      <c r="Z35" s="2263"/>
      <c r="AA35" s="2263"/>
      <c r="AB35" s="2263"/>
      <c r="AC35" s="252"/>
      <c r="AD35" s="2263" t="str">
        <f>IF(TITLE_NUMBER_PR_CHANGE="",IF(TITLE_NUMBER_PR="","",TITLE_NUMBER_PR),TITLE_NUMBER_PR_CHANGE)</f>
        <v>924-в</v>
      </c>
      <c r="AE35" s="2263"/>
      <c r="AF35" s="2263"/>
      <c r="AG35" s="2263"/>
      <c r="AH35" s="2263"/>
      <c r="AI35" s="2263"/>
      <c r="AJ35" s="2263"/>
      <c r="AK35" s="252"/>
      <c r="AL35" s="252"/>
      <c r="AM35" s="199"/>
      <c r="AN35" s="296"/>
      <c r="AO35" s="296"/>
      <c r="AP35" s="296"/>
      <c r="AQ35" s="296"/>
      <c r="AR35" s="296"/>
    </row>
    <row r="36" spans="1:44" s="1936" customFormat="1" ht="0" hidden="1" customHeight="1">
      <c r="A36" s="1284"/>
      <c r="B36" s="1284"/>
      <c r="C36" s="1284"/>
      <c r="D36" s="1284"/>
      <c r="E36" s="1284"/>
      <c r="F36" s="1284"/>
      <c r="G36" s="1284"/>
      <c r="H36" s="1284"/>
      <c r="I36" s="1284"/>
      <c r="J36" s="1284"/>
      <c r="K36" s="1284"/>
      <c r="L36" s="1285"/>
      <c r="M36" s="1284"/>
      <c r="N36" s="1284"/>
      <c r="O36" s="1284"/>
      <c r="S36" s="248"/>
      <c r="T36" s="248"/>
      <c r="U36" s="1257"/>
      <c r="V36" s="252"/>
      <c r="W36" s="252"/>
      <c r="X36" s="252"/>
      <c r="Y36" s="252"/>
      <c r="Z36" s="252"/>
      <c r="AA36" s="252"/>
      <c r="AB36" s="252"/>
      <c r="AC36" s="197" t="s">
        <v>416</v>
      </c>
      <c r="AD36" s="252"/>
      <c r="AE36" s="252"/>
      <c r="AF36" s="252"/>
      <c r="AG36" s="252"/>
      <c r="AH36" s="252"/>
      <c r="AI36" s="252"/>
      <c r="AJ36" s="252"/>
      <c r="AK36" s="197" t="s">
        <v>416</v>
      </c>
      <c r="AN36" s="296"/>
      <c r="AO36" s="296"/>
      <c r="AP36" s="296"/>
      <c r="AQ36" s="296"/>
      <c r="AR36" s="296"/>
    </row>
    <row r="37" spans="1:44" ht="14.25" customHeight="1">
      <c r="Q37" s="305"/>
      <c r="R37" s="305"/>
      <c r="S37" s="1195"/>
      <c r="T37" s="290"/>
      <c r="U37" s="1153"/>
      <c r="V37" s="2264"/>
      <c r="W37" s="2264"/>
      <c r="X37" s="2264"/>
      <c r="Y37" s="2264"/>
      <c r="Z37" s="2264"/>
      <c r="AA37" s="2264"/>
      <c r="AB37" s="2264"/>
      <c r="AC37" s="2264"/>
      <c r="AD37" s="2264"/>
      <c r="AE37" s="2264"/>
      <c r="AF37" s="2264"/>
      <c r="AG37" s="2264"/>
      <c r="AH37" s="2264"/>
      <c r="AI37" s="2264"/>
      <c r="AJ37" s="2264"/>
      <c r="AK37" s="2264"/>
    </row>
    <row r="38" spans="1:44" ht="14.25" customHeight="1">
      <c r="Q38" s="305"/>
      <c r="R38" s="305"/>
      <c r="S38" s="2143" t="s">
        <v>289</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290</v>
      </c>
    </row>
    <row r="39" spans="1:44" ht="14.25" customHeight="1">
      <c r="Q39" s="305"/>
      <c r="R39" s="305"/>
      <c r="S39" s="2278" t="s">
        <v>87</v>
      </c>
      <c r="T39" s="2229" t="s">
        <v>417</v>
      </c>
      <c r="U39" s="219"/>
      <c r="V39" s="2279" t="s">
        <v>418</v>
      </c>
      <c r="W39" s="2280"/>
      <c r="X39" s="2280"/>
      <c r="Y39" s="2280"/>
      <c r="Z39" s="2280"/>
      <c r="AA39" s="2280"/>
      <c r="AB39" s="2281"/>
      <c r="AC39" s="2282" t="s">
        <v>419</v>
      </c>
      <c r="AD39" s="2279" t="s">
        <v>418</v>
      </c>
      <c r="AE39" s="2280"/>
      <c r="AF39" s="2280"/>
      <c r="AG39" s="2280"/>
      <c r="AH39" s="2280"/>
      <c r="AI39" s="2280"/>
      <c r="AJ39" s="2281"/>
      <c r="AK39" s="2282" t="s">
        <v>420</v>
      </c>
      <c r="AL39" s="2285" t="s">
        <v>421</v>
      </c>
      <c r="AM39" s="2143"/>
    </row>
    <row r="40" spans="1:44" ht="33.75" customHeight="1">
      <c r="Q40" s="305"/>
      <c r="R40" s="305"/>
      <c r="S40" s="2278"/>
      <c r="T40" s="2229"/>
      <c r="U40" s="938"/>
      <c r="V40" s="2199" t="s">
        <v>422</v>
      </c>
      <c r="W40" s="2288" t="s">
        <v>423</v>
      </c>
      <c r="X40" s="2115" t="s">
        <v>424</v>
      </c>
      <c r="Y40" s="2114"/>
      <c r="Z40" s="2115" t="s">
        <v>437</v>
      </c>
      <c r="AA40" s="2120"/>
      <c r="AB40" s="2114"/>
      <c r="AC40" s="2283"/>
      <c r="AD40" s="2199" t="s">
        <v>422</v>
      </c>
      <c r="AE40" s="2288" t="s">
        <v>423</v>
      </c>
      <c r="AF40" s="2115" t="s">
        <v>424</v>
      </c>
      <c r="AG40" s="2114"/>
      <c r="AH40" s="2115" t="s">
        <v>425</v>
      </c>
      <c r="AI40" s="2120"/>
      <c r="AJ40" s="2114"/>
      <c r="AK40" s="2283"/>
      <c r="AL40" s="2286"/>
      <c r="AM40" s="2143"/>
    </row>
    <row r="41" spans="1:44" ht="33.75" customHeight="1">
      <c r="A41" s="1286"/>
      <c r="B41" s="1286" t="s">
        <v>134</v>
      </c>
      <c r="C41" s="1286" t="s">
        <v>135</v>
      </c>
      <c r="D41" s="1286" t="s">
        <v>136</v>
      </c>
      <c r="E41" s="1280" t="s">
        <v>426</v>
      </c>
      <c r="F41" s="1280" t="s">
        <v>427</v>
      </c>
      <c r="G41" s="1280" t="s">
        <v>428</v>
      </c>
      <c r="H41" s="1280" t="s">
        <v>429</v>
      </c>
      <c r="I41" s="1280" t="s">
        <v>430</v>
      </c>
      <c r="J41" s="1280" t="s">
        <v>431</v>
      </c>
      <c r="K41" s="1280" t="s">
        <v>432</v>
      </c>
      <c r="L41" s="1280" t="s">
        <v>407</v>
      </c>
      <c r="Q41" s="305"/>
      <c r="R41" s="305"/>
      <c r="S41" s="2278"/>
      <c r="T41" s="2229"/>
      <c r="U41" s="220"/>
      <c r="V41" s="2249"/>
      <c r="W41" s="2289"/>
      <c r="X41" s="1128" t="s">
        <v>433</v>
      </c>
      <c r="Y41" s="1128" t="s">
        <v>434</v>
      </c>
      <c r="Z41" s="1255" t="s">
        <v>435</v>
      </c>
      <c r="AA41" s="2238" t="s">
        <v>436</v>
      </c>
      <c r="AB41" s="2240"/>
      <c r="AC41" s="2284"/>
      <c r="AD41" s="2249"/>
      <c r="AE41" s="2289"/>
      <c r="AF41" s="1128" t="s">
        <v>433</v>
      </c>
      <c r="AG41" s="1128" t="s">
        <v>434</v>
      </c>
      <c r="AH41" s="1255" t="s">
        <v>435</v>
      </c>
      <c r="AI41" s="2238" t="s">
        <v>436</v>
      </c>
      <c r="AJ41" s="2240"/>
      <c r="AK41" s="2284"/>
      <c r="AL41" s="2287"/>
      <c r="AM41" s="2143"/>
    </row>
    <row r="42" spans="1:44" s="1819" customFormat="1" ht="11.25" hidden="1" customHeight="1">
      <c r="A42" s="1286"/>
      <c r="B42" s="1286"/>
      <c r="C42" s="1286"/>
      <c r="D42" s="1286"/>
      <c r="E42" s="1286"/>
      <c r="F42" s="1286"/>
      <c r="G42" s="1286"/>
      <c r="H42" s="1286"/>
      <c r="I42" s="1286"/>
      <c r="J42" s="1286"/>
      <c r="K42" s="1286"/>
      <c r="L42" s="1280"/>
      <c r="M42" s="1278"/>
      <c r="N42" s="1278"/>
      <c r="O42" s="1278"/>
      <c r="P42" s="1155"/>
      <c r="Q42" s="1156"/>
      <c r="R42" s="1171">
        <v>1</v>
      </c>
      <c r="S42" s="1197" t="s">
        <v>108</v>
      </c>
      <c r="T42" s="1172" t="s">
        <v>109</v>
      </c>
      <c r="U42" s="1154" t="str">
        <f ca="1">OFFSET(U42,0,-1)</f>
        <v>2</v>
      </c>
      <c r="V42" s="1252">
        <f ca="1">OFFSET(V42,0,-1)+1</f>
        <v>3</v>
      </c>
      <c r="W42" s="1252"/>
      <c r="X42" s="1252">
        <f ca="1">OFFSET(X42,0,-1)+1</f>
        <v>1</v>
      </c>
      <c r="Y42" s="1252">
        <f ca="1">OFFSET(Y42,0,-1)+1</f>
        <v>2</v>
      </c>
      <c r="Z42" s="1252">
        <f ca="1">OFFSET(Z42,0,-1)+1</f>
        <v>3</v>
      </c>
      <c r="AA42" s="2277">
        <f ca="1">OFFSET(AA42,0,-1)+1</f>
        <v>4</v>
      </c>
      <c r="AB42" s="2277"/>
      <c r="AC42" s="1252">
        <f ca="1">OFFSET(AC42,0,-2)+1</f>
        <v>5</v>
      </c>
      <c r="AD42" s="1252">
        <f ca="1">OFFSET(AD42,0,-1)+1</f>
        <v>6</v>
      </c>
      <c r="AE42" s="1252"/>
      <c r="AF42" s="1252">
        <f ca="1">OFFSET(AF42,0,-1)+1</f>
        <v>1</v>
      </c>
      <c r="AG42" s="1252">
        <f ca="1">OFFSET(AG42,0,-1)+1</f>
        <v>2</v>
      </c>
      <c r="AH42" s="1252">
        <f ca="1">OFFSET(AH42,0,-1)+1</f>
        <v>3</v>
      </c>
      <c r="AI42" s="2277">
        <f ca="1">OFFSET(AI42,0,-1)+1</f>
        <v>4</v>
      </c>
      <c r="AJ42" s="2277"/>
      <c r="AK42" s="1252">
        <f ca="1">OFFSET(AK42,0,-2)+1</f>
        <v>5</v>
      </c>
      <c r="AL42" s="1154">
        <f ca="1">OFFSET(AL42,0,-1)</f>
        <v>5</v>
      </c>
      <c r="AM42" s="1252">
        <f ca="1">OFFSET(AM42,0,-1)+1</f>
        <v>6</v>
      </c>
      <c r="AN42" s="437"/>
      <c r="AO42" s="437"/>
      <c r="AP42" s="437"/>
      <c r="AQ42" s="437"/>
      <c r="AR42" s="437"/>
    </row>
    <row r="43" spans="1:44" ht="21" customHeight="1">
      <c r="A43" s="1279" t="s">
        <v>161</v>
      </c>
      <c r="B43" s="1279"/>
      <c r="C43" s="1279"/>
      <c r="D43" s="1279"/>
      <c r="E43" s="2270">
        <v>1</v>
      </c>
      <c r="F43" s="1279"/>
      <c r="G43" s="1279"/>
      <c r="H43" s="1279"/>
      <c r="I43" s="1279"/>
      <c r="J43" s="1279"/>
      <c r="K43" s="1279"/>
      <c r="L43" s="1280"/>
      <c r="M43" s="1281"/>
      <c r="N43" s="1281"/>
      <c r="O43" s="1281"/>
      <c r="P43" s="286"/>
      <c r="Q43" s="285"/>
      <c r="R43" s="280"/>
      <c r="S43" s="1253">
        <f>INDEX(PT_DIFFERENTIATION_NUM_NTAR,MATCH(A43,PT_DIFFERENTIATION_NTAR_ID,0))</f>
        <v>0</v>
      </c>
      <c r="T43" s="216" t="s">
        <v>122</v>
      </c>
      <c r="U43" s="218"/>
      <c r="V43" s="2256"/>
      <c r="W43" s="2257"/>
      <c r="X43" s="2257"/>
      <c r="Y43" s="2257"/>
      <c r="Z43" s="2257"/>
      <c r="AA43" s="2257"/>
      <c r="AB43" s="2257"/>
      <c r="AC43" s="2258"/>
      <c r="AD43" s="2256" t="str">
        <f>INDEX(PT_DIFFERENTIATION_NTAR,MATCH(A43,PT_DIFFERENTIATION_NTAR_ID,0))</f>
        <v/>
      </c>
      <c r="AE43" s="2257"/>
      <c r="AF43" s="2257"/>
      <c r="AG43" s="2257"/>
      <c r="AH43" s="2257"/>
      <c r="AI43" s="2257"/>
      <c r="AJ43" s="2257"/>
      <c r="AK43" s="2257"/>
      <c r="AL43" s="2258"/>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6"/>
      <c r="AP43" s="426" t="str">
        <f t="shared" ref="AP43:AP57" si="1">IF(T43="","",T43)</f>
        <v>Наименование тарифа</v>
      </c>
      <c r="AQ43" s="426"/>
      <c r="AR43" s="426"/>
    </row>
    <row r="44" spans="1:44" ht="21" customHeight="1">
      <c r="A44" s="1279" t="s">
        <v>161</v>
      </c>
      <c r="B44" s="1279" t="s">
        <v>162</v>
      </c>
      <c r="C44" s="1279"/>
      <c r="D44" s="1279"/>
      <c r="E44" s="2271"/>
      <c r="F44" s="2270">
        <v>1</v>
      </c>
      <c r="G44" s="1279"/>
      <c r="H44" s="1279"/>
      <c r="I44" s="1279"/>
      <c r="J44" s="1279"/>
      <c r="K44" s="1279"/>
      <c r="L44" s="1280"/>
      <c r="M44" s="1281"/>
      <c r="N44" s="1281"/>
      <c r="O44" s="1281"/>
      <c r="P44" s="1249"/>
      <c r="Q44" s="277"/>
      <c r="R44" s="278"/>
      <c r="S44" s="1253" t="str">
        <f>INDEX(PT_DIFFERENTIATION_NUM_TER,MATCH(B44,PT_DIFFERENTIATION_TER_ID,0))</f>
        <v>.</v>
      </c>
      <c r="T44" s="228" t="s">
        <v>388</v>
      </c>
      <c r="U44" s="218"/>
      <c r="V44" s="2256"/>
      <c r="W44" s="2257"/>
      <c r="X44" s="2257"/>
      <c r="Y44" s="2257"/>
      <c r="Z44" s="2257"/>
      <c r="AA44" s="2257"/>
      <c r="AB44" s="2257"/>
      <c r="AC44" s="2258"/>
      <c r="AD44" s="2256" t="str">
        <f>INDEX(PT_DIFFERENTIATION_TER,MATCH(B44,PT_DIFFERENTIATION_TER_ID,0))</f>
        <v/>
      </c>
      <c r="AE44" s="2257"/>
      <c r="AF44" s="2257"/>
      <c r="AG44" s="2257"/>
      <c r="AH44" s="2257"/>
      <c r="AI44" s="2257"/>
      <c r="AJ44" s="2257"/>
      <c r="AK44" s="2257"/>
      <c r="AL44" s="2258"/>
      <c r="AM44" s="1177" t="s">
        <v>389</v>
      </c>
      <c r="AO44" s="426"/>
      <c r="AP44" s="426" t="str">
        <f t="shared" si="1"/>
        <v>Территория действия тарифа</v>
      </c>
      <c r="AQ44" s="426"/>
      <c r="AR44" s="426"/>
    </row>
    <row r="45" spans="1:44" ht="23.25" customHeight="1">
      <c r="A45" s="1279" t="s">
        <v>161</v>
      </c>
      <c r="B45" s="1279" t="s">
        <v>162</v>
      </c>
      <c r="C45" s="1279" t="s">
        <v>163</v>
      </c>
      <c r="D45" s="1279"/>
      <c r="E45" s="2271"/>
      <c r="F45" s="2271"/>
      <c r="G45" s="2270">
        <v>1</v>
      </c>
      <c r="H45" s="1279"/>
      <c r="I45" s="1279"/>
      <c r="J45" s="1279"/>
      <c r="K45" s="1279"/>
      <c r="L45" s="1280"/>
      <c r="M45" s="1281"/>
      <c r="N45" s="1281"/>
      <c r="O45" s="1281"/>
      <c r="P45" s="279"/>
      <c r="Q45" s="277"/>
      <c r="R45" s="278"/>
      <c r="S45" s="1253" t="str">
        <f>INDEX(PT_DIFFERENTIATION_NUM_CS,MATCH(C45,PT_DIFFERENTIATION_CS_ID,0))</f>
        <v>..</v>
      </c>
      <c r="T45" s="229" t="s">
        <v>390</v>
      </c>
      <c r="U45" s="218"/>
      <c r="V45" s="2256"/>
      <c r="W45" s="2257"/>
      <c r="X45" s="2257"/>
      <c r="Y45" s="2257"/>
      <c r="Z45" s="2257"/>
      <c r="AA45" s="2257"/>
      <c r="AB45" s="2257"/>
      <c r="AC45" s="2258"/>
      <c r="AD45" s="2256" t="str">
        <f>INDEX(PT_DIFFERENTIATION_CS,MATCH(C45,PT_DIFFERENTIATION_CS_ID,0))</f>
        <v/>
      </c>
      <c r="AE45" s="2257"/>
      <c r="AF45" s="2257"/>
      <c r="AG45" s="2257"/>
      <c r="AH45" s="2257"/>
      <c r="AI45" s="2257"/>
      <c r="AJ45" s="2257"/>
      <c r="AK45" s="2257"/>
      <c r="AL45" s="2258"/>
      <c r="AM45" s="1177" t="s">
        <v>391</v>
      </c>
      <c r="AO45" s="426"/>
      <c r="AP45" s="426" t="str">
        <f t="shared" si="1"/>
        <v xml:space="preserve">Наименование системы теплоснабжения </v>
      </c>
      <c r="AQ45" s="426"/>
      <c r="AR45" s="426"/>
    </row>
    <row r="46" spans="1:44" ht="21" customHeight="1">
      <c r="A46" s="1279" t="s">
        <v>161</v>
      </c>
      <c r="B46" s="1279" t="s">
        <v>162</v>
      </c>
      <c r="C46" s="1279" t="s">
        <v>163</v>
      </c>
      <c r="D46" s="1279" t="s">
        <v>164</v>
      </c>
      <c r="E46" s="2271"/>
      <c r="F46" s="2271"/>
      <c r="G46" s="2271"/>
      <c r="H46" s="2270">
        <v>1</v>
      </c>
      <c r="I46" s="1279"/>
      <c r="J46" s="1279"/>
      <c r="K46" s="1279"/>
      <c r="L46" s="1280"/>
      <c r="M46" s="1281"/>
      <c r="N46" s="1281"/>
      <c r="O46" s="1281"/>
      <c r="P46" s="279"/>
      <c r="Q46" s="277"/>
      <c r="R46" s="278"/>
      <c r="S46" s="1253" t="str">
        <f>INDEX(PT_DIFFERENTIATION_NUM_IST_TE,MATCH(D46,PT_DIFFERENTIATION_IST_TE_ID,0))</f>
        <v>...</v>
      </c>
      <c r="T46" s="230" t="s">
        <v>392</v>
      </c>
      <c r="U46" s="218"/>
      <c r="V46" s="2256"/>
      <c r="W46" s="2257"/>
      <c r="X46" s="2257"/>
      <c r="Y46" s="2257"/>
      <c r="Z46" s="2257"/>
      <c r="AA46" s="2257"/>
      <c r="AB46" s="2257"/>
      <c r="AC46" s="2258"/>
      <c r="AD46" s="2256" t="str">
        <f>INDEX(PT_DIFFERENTIATION_IST_TE,MATCH(D46,PT_DIFFERENTIATION_IST_TE_ID,0))</f>
        <v/>
      </c>
      <c r="AE46" s="2257"/>
      <c r="AF46" s="2257"/>
      <c r="AG46" s="2257"/>
      <c r="AH46" s="2257"/>
      <c r="AI46" s="2257"/>
      <c r="AJ46" s="2257"/>
      <c r="AK46" s="2257"/>
      <c r="AL46" s="2258"/>
      <c r="AM46" s="1177" t="s">
        <v>393</v>
      </c>
      <c r="AO46" s="426"/>
      <c r="AP46" s="426" t="str">
        <f t="shared" si="1"/>
        <v xml:space="preserve">Источник тепловой энергии  </v>
      </c>
      <c r="AQ46" s="426"/>
      <c r="AR46" s="426"/>
    </row>
    <row r="47" spans="1:44" ht="47.25" customHeight="1">
      <c r="A47" s="1279" t="s">
        <v>161</v>
      </c>
      <c r="B47" s="1279" t="s">
        <v>162</v>
      </c>
      <c r="C47" s="1279" t="s">
        <v>163</v>
      </c>
      <c r="D47" s="1279" t="s">
        <v>164</v>
      </c>
      <c r="E47" s="2271"/>
      <c r="F47" s="2271"/>
      <c r="G47" s="2271"/>
      <c r="H47" s="2271"/>
      <c r="I47" s="2268" t="str">
        <f>S46&amp;".1"</f>
        <v>....1</v>
      </c>
      <c r="J47" s="1279"/>
      <c r="K47" s="1279"/>
      <c r="L47" s="1280" t="s">
        <v>394</v>
      </c>
      <c r="P47" s="2269">
        <v>1</v>
      </c>
      <c r="Q47" s="1248"/>
      <c r="R47" s="281"/>
      <c r="S47" s="1253" t="str">
        <f>$I47</f>
        <v>....1</v>
      </c>
      <c r="T47" s="203" t="s">
        <v>395</v>
      </c>
      <c r="U47" s="218"/>
      <c r="V47" s="2259"/>
      <c r="W47" s="2260"/>
      <c r="X47" s="2260"/>
      <c r="Y47" s="2260"/>
      <c r="Z47" s="2260"/>
      <c r="AA47" s="2260"/>
      <c r="AB47" s="2260"/>
      <c r="AC47" s="2261"/>
      <c r="AD47" s="2259"/>
      <c r="AE47" s="2260"/>
      <c r="AF47" s="2260"/>
      <c r="AG47" s="2260"/>
      <c r="AH47" s="2260"/>
      <c r="AI47" s="2260"/>
      <c r="AJ47" s="2260"/>
      <c r="AK47" s="2260"/>
      <c r="AL47" s="2261"/>
      <c r="AM47" s="1177" t="s">
        <v>396</v>
      </c>
      <c r="AO47" s="426"/>
      <c r="AP47" s="426" t="str">
        <f t="shared" si="1"/>
        <v>Схема подключения теплопотребляющей установки к коллектору источника тепловой энергии</v>
      </c>
      <c r="AQ47" s="426"/>
      <c r="AR47" s="426"/>
    </row>
    <row r="48" spans="1:44" ht="21" customHeight="1">
      <c r="A48" s="1279" t="s">
        <v>161</v>
      </c>
      <c r="B48" s="1279" t="s">
        <v>162</v>
      </c>
      <c r="C48" s="1279" t="s">
        <v>163</v>
      </c>
      <c r="D48" s="1279" t="s">
        <v>164</v>
      </c>
      <c r="E48" s="2271"/>
      <c r="F48" s="2271"/>
      <c r="G48" s="2271"/>
      <c r="H48" s="2271"/>
      <c r="I48" s="2291"/>
      <c r="J48" s="2268" t="str">
        <f>I47&amp;".1"</f>
        <v>....1.1</v>
      </c>
      <c r="K48" s="1279"/>
      <c r="L48" s="1280" t="s">
        <v>397</v>
      </c>
      <c r="P48" s="2269"/>
      <c r="Q48" s="2269">
        <v>1</v>
      </c>
      <c r="R48" s="282"/>
      <c r="S48" s="1253" t="str">
        <f>$J48</f>
        <v>....1.1</v>
      </c>
      <c r="T48" s="204" t="s">
        <v>398</v>
      </c>
      <c r="U48" s="218"/>
      <c r="V48" s="2259"/>
      <c r="W48" s="2260"/>
      <c r="X48" s="2260"/>
      <c r="Y48" s="2260"/>
      <c r="Z48" s="2260"/>
      <c r="AA48" s="2260"/>
      <c r="AB48" s="2260"/>
      <c r="AC48" s="2261"/>
      <c r="AD48" s="2259"/>
      <c r="AE48" s="2260"/>
      <c r="AF48" s="2260"/>
      <c r="AG48" s="2260"/>
      <c r="AH48" s="2260"/>
      <c r="AI48" s="2260"/>
      <c r="AJ48" s="2260"/>
      <c r="AK48" s="2260"/>
      <c r="AL48" s="2261"/>
      <c r="AM48" s="1177" t="s">
        <v>399</v>
      </c>
      <c r="AO48" s="426"/>
      <c r="AP48" s="426" t="str">
        <f t="shared" si="1"/>
        <v>Группа потребителей</v>
      </c>
      <c r="AQ48" s="426"/>
      <c r="AR48" s="426"/>
    </row>
    <row r="49" spans="1:44" ht="21" customHeight="1">
      <c r="A49" s="1279" t="s">
        <v>161</v>
      </c>
      <c r="B49" s="1279" t="s">
        <v>162</v>
      </c>
      <c r="C49" s="1279" t="s">
        <v>163</v>
      </c>
      <c r="D49" s="1279" t="s">
        <v>164</v>
      </c>
      <c r="E49" s="2271"/>
      <c r="F49" s="2271"/>
      <c r="G49" s="2271"/>
      <c r="H49" s="2271"/>
      <c r="I49" s="2291"/>
      <c r="J49" s="2291"/>
      <c r="K49" s="2268" t="str">
        <f>J48&amp;".1"</f>
        <v>....1.1.1</v>
      </c>
      <c r="L49" s="1280" t="s">
        <v>400</v>
      </c>
      <c r="P49" s="2269"/>
      <c r="Q49" s="2269"/>
      <c r="R49" s="282">
        <v>1</v>
      </c>
      <c r="S49" s="1253" t="str">
        <f>$K49</f>
        <v>....1.1.1</v>
      </c>
      <c r="T49" s="1264"/>
      <c r="U49" s="218"/>
      <c r="V49" s="668"/>
      <c r="W49" s="250"/>
      <c r="X49" s="668"/>
      <c r="Y49" s="1176"/>
      <c r="Z49" s="2273"/>
      <c r="AA49" s="2124" t="s">
        <v>61</v>
      </c>
      <c r="AB49" s="2273"/>
      <c r="AC49" s="2124" t="s">
        <v>61</v>
      </c>
      <c r="AD49" s="668"/>
      <c r="AE49" s="250"/>
      <c r="AF49" s="668"/>
      <c r="AG49" s="1176"/>
      <c r="AH49" s="2273"/>
      <c r="AI49" s="2124" t="s">
        <v>61</v>
      </c>
      <c r="AJ49" s="2292"/>
      <c r="AK49" s="2124" t="s">
        <v>61</v>
      </c>
      <c r="AL49" s="1265"/>
      <c r="AM49" s="2265" t="s">
        <v>401</v>
      </c>
      <c r="AN49" s="437" t="e">
        <f ca="1">STRCHECKDATE(V50:AL50)</f>
        <v>#NAME?</v>
      </c>
      <c r="AO49" s="426"/>
      <c r="AP49" s="426" t="str">
        <f t="shared" si="1"/>
        <v/>
      </c>
      <c r="AQ49" s="426"/>
      <c r="AR49" s="426"/>
    </row>
    <row r="50" spans="1:44" ht="0.75" customHeight="1">
      <c r="A50" s="1279" t="s">
        <v>161</v>
      </c>
      <c r="B50" s="1279" t="s">
        <v>162</v>
      </c>
      <c r="C50" s="1279" t="s">
        <v>163</v>
      </c>
      <c r="D50" s="1279" t="s">
        <v>164</v>
      </c>
      <c r="E50" s="2271"/>
      <c r="F50" s="2271"/>
      <c r="G50" s="2271"/>
      <c r="H50" s="2271"/>
      <c r="I50" s="2291"/>
      <c r="J50" s="2291"/>
      <c r="K50" s="2268"/>
      <c r="L50" s="1280"/>
      <c r="P50" s="2269"/>
      <c r="Q50" s="2269"/>
      <c r="R50" s="282"/>
      <c r="S50" s="1259"/>
      <c r="T50" s="218"/>
      <c r="U50" s="218"/>
      <c r="V50" s="250"/>
      <c r="W50" s="250"/>
      <c r="X50" s="250"/>
      <c r="Y50" s="254" t="str">
        <f>Z49&amp;"-"&amp;AB49</f>
        <v>-</v>
      </c>
      <c r="Z50" s="2274"/>
      <c r="AA50" s="2124"/>
      <c r="AB50" s="2274"/>
      <c r="AC50" s="2124"/>
      <c r="AD50" s="250"/>
      <c r="AE50" s="250"/>
      <c r="AF50" s="250"/>
      <c r="AG50" s="254" t="str">
        <f>AH49&amp;"-"&amp;AJ49</f>
        <v>-</v>
      </c>
      <c r="AH50" s="2274"/>
      <c r="AI50" s="2124"/>
      <c r="AJ50" s="2293"/>
      <c r="AK50" s="2124"/>
      <c r="AL50" s="1266"/>
      <c r="AM50" s="2266"/>
      <c r="AO50" s="426"/>
      <c r="AP50" s="426" t="str">
        <f t="shared" si="1"/>
        <v/>
      </c>
      <c r="AQ50" s="426"/>
      <c r="AR50" s="426"/>
    </row>
    <row r="51" spans="1:44" ht="11.25" customHeight="1">
      <c r="A51" s="1279" t="s">
        <v>161</v>
      </c>
      <c r="B51" s="1279" t="s">
        <v>162</v>
      </c>
      <c r="C51" s="1279" t="s">
        <v>163</v>
      </c>
      <c r="D51" s="1279" t="s">
        <v>164</v>
      </c>
      <c r="E51" s="2271"/>
      <c r="F51" s="2271"/>
      <c r="G51" s="2271"/>
      <c r="H51" s="2271"/>
      <c r="I51" s="2291"/>
      <c r="J51" s="2268"/>
      <c r="K51" s="1279"/>
      <c r="L51" s="1280"/>
      <c r="P51" s="2269"/>
      <c r="Q51" s="2269"/>
      <c r="R51" s="281"/>
      <c r="S51" s="1198"/>
      <c r="T51" s="206" t="s">
        <v>402</v>
      </c>
      <c r="U51" s="295"/>
      <c r="V51" s="295"/>
      <c r="W51" s="295"/>
      <c r="X51" s="295"/>
      <c r="Y51" s="295"/>
      <c r="Z51" s="295"/>
      <c r="AA51" s="295"/>
      <c r="AB51" s="295"/>
      <c r="AC51" s="295"/>
      <c r="AD51" s="295"/>
      <c r="AE51" s="295"/>
      <c r="AF51" s="295"/>
      <c r="AG51" s="295"/>
      <c r="AH51" s="295"/>
      <c r="AI51" s="295"/>
      <c r="AJ51" s="295"/>
      <c r="AK51" s="295"/>
      <c r="AL51" s="249"/>
      <c r="AM51" s="2267"/>
      <c r="AO51" s="426"/>
      <c r="AP51" s="426" t="str">
        <f t="shared" si="1"/>
        <v>Добавить вид теплоносителя (параметры теплоносителя)</v>
      </c>
      <c r="AQ51" s="426"/>
      <c r="AR51" s="426"/>
    </row>
    <row r="52" spans="1:44" ht="11.25" customHeight="1">
      <c r="A52" s="1279" t="s">
        <v>161</v>
      </c>
      <c r="B52" s="1279" t="s">
        <v>162</v>
      </c>
      <c r="C52" s="1279" t="s">
        <v>163</v>
      </c>
      <c r="D52" s="1279" t="s">
        <v>164</v>
      </c>
      <c r="E52" s="2271"/>
      <c r="F52" s="2271"/>
      <c r="G52" s="2271"/>
      <c r="H52" s="2271"/>
      <c r="I52" s="2268"/>
      <c r="J52" s="1279"/>
      <c r="K52" s="1279"/>
      <c r="L52" s="1280"/>
      <c r="P52" s="2269"/>
      <c r="Q52" s="1248"/>
      <c r="R52" s="281"/>
      <c r="S52" s="1198"/>
      <c r="T52" s="205" t="s">
        <v>403</v>
      </c>
      <c r="U52" s="295"/>
      <c r="V52" s="295"/>
      <c r="W52" s="295"/>
      <c r="X52" s="295"/>
      <c r="Y52" s="295"/>
      <c r="Z52" s="295"/>
      <c r="AA52" s="295"/>
      <c r="AB52" s="295"/>
      <c r="AC52" s="294"/>
      <c r="AD52" s="295"/>
      <c r="AE52" s="295"/>
      <c r="AF52" s="295"/>
      <c r="AG52" s="295"/>
      <c r="AH52" s="295"/>
      <c r="AI52" s="295"/>
      <c r="AJ52" s="295"/>
      <c r="AK52" s="294"/>
      <c r="AL52" s="295"/>
      <c r="AM52" s="221"/>
      <c r="AO52" s="426"/>
      <c r="AP52" s="426" t="str">
        <f t="shared" si="1"/>
        <v>Добавить группу потребителей</v>
      </c>
      <c r="AQ52" s="426"/>
      <c r="AR52" s="426"/>
    </row>
    <row r="53" spans="1:44" ht="14.25" customHeight="1">
      <c r="A53" s="1279" t="s">
        <v>161</v>
      </c>
      <c r="B53" s="1279" t="s">
        <v>162</v>
      </c>
      <c r="C53" s="1279" t="s">
        <v>163</v>
      </c>
      <c r="D53" s="1279" t="s">
        <v>164</v>
      </c>
      <c r="E53" s="2271"/>
      <c r="F53" s="2271"/>
      <c r="G53" s="2271"/>
      <c r="H53" s="2270"/>
      <c r="I53" s="1279"/>
      <c r="J53" s="1279"/>
      <c r="K53" s="1279"/>
      <c r="L53" s="1280"/>
      <c r="M53" s="1281"/>
      <c r="N53" s="1281"/>
      <c r="O53" s="462"/>
      <c r="P53" s="285"/>
      <c r="Q53" s="304"/>
      <c r="R53" s="280"/>
      <c r="S53" s="1198"/>
      <c r="T53" s="292" t="s">
        <v>404</v>
      </c>
      <c r="U53" s="295"/>
      <c r="V53" s="295"/>
      <c r="W53" s="295"/>
      <c r="X53" s="295"/>
      <c r="Y53" s="295"/>
      <c r="Z53" s="295"/>
      <c r="AA53" s="295"/>
      <c r="AB53" s="295"/>
      <c r="AC53" s="294"/>
      <c r="AD53" s="295"/>
      <c r="AE53" s="295"/>
      <c r="AF53" s="295"/>
      <c r="AG53" s="295"/>
      <c r="AH53" s="295"/>
      <c r="AI53" s="295"/>
      <c r="AJ53" s="295"/>
      <c r="AK53" s="294"/>
      <c r="AL53" s="295"/>
      <c r="AM53" s="221"/>
      <c r="AO53" s="426"/>
      <c r="AP53" s="426" t="str">
        <f t="shared" si="1"/>
        <v>Добавить схему подключения</v>
      </c>
      <c r="AQ53" s="426"/>
      <c r="AR53" s="426"/>
    </row>
    <row r="54" spans="1:44" s="1930" customFormat="1" ht="0.75" customHeight="1">
      <c r="A54" s="1260" t="s">
        <v>161</v>
      </c>
      <c r="B54" s="1260" t="s">
        <v>162</v>
      </c>
      <c r="C54" s="1260" t="s">
        <v>163</v>
      </c>
      <c r="D54" s="1232"/>
      <c r="E54" s="2271"/>
      <c r="F54" s="2271"/>
      <c r="G54" s="2270"/>
      <c r="H54" s="1232"/>
      <c r="I54" s="1232"/>
      <c r="J54" s="1232"/>
      <c r="K54" s="1232"/>
      <c r="L54" s="1256"/>
      <c r="M54" s="1233"/>
      <c r="N54" s="1233"/>
      <c r="P54" s="1234"/>
      <c r="Q54" s="1235"/>
      <c r="R54" s="1234"/>
      <c r="S54" s="1240"/>
      <c r="T54" s="1243" t="s">
        <v>405</v>
      </c>
      <c r="U54" s="1242"/>
      <c r="V54" s="1242"/>
      <c r="W54" s="1242"/>
      <c r="X54" s="1242"/>
      <c r="Y54" s="1242"/>
      <c r="Z54" s="1242"/>
      <c r="AA54" s="1242"/>
      <c r="AB54" s="1242"/>
      <c r="AC54" s="1242"/>
      <c r="AD54" s="1242"/>
      <c r="AE54" s="1242"/>
      <c r="AF54" s="1242"/>
      <c r="AG54" s="1242"/>
      <c r="AH54" s="1242"/>
      <c r="AI54" s="1242"/>
      <c r="AJ54" s="1242"/>
      <c r="AK54" s="1242"/>
      <c r="AL54" s="1242"/>
      <c r="AM54" s="1242"/>
      <c r="AO54" s="706"/>
      <c r="AP54" s="706" t="str">
        <f t="shared" si="1"/>
        <v>Добавить источник для дифференциации</v>
      </c>
      <c r="AQ54" s="706"/>
      <c r="AR54" s="706"/>
    </row>
    <row r="55" spans="1:44" s="1930" customFormat="1" ht="0.75" customHeight="1">
      <c r="A55" s="1260" t="s">
        <v>161</v>
      </c>
      <c r="B55" s="1260" t="s">
        <v>162</v>
      </c>
      <c r="C55" s="1232"/>
      <c r="D55" s="1232"/>
      <c r="E55" s="2271"/>
      <c r="F55" s="2270"/>
      <c r="G55" s="1232"/>
      <c r="H55" s="1232"/>
      <c r="I55" s="1232"/>
      <c r="J55" s="1232"/>
      <c r="K55" s="1232"/>
      <c r="L55" s="1256"/>
      <c r="M55" s="1239"/>
      <c r="N55" s="1239"/>
      <c r="P55" s="1234"/>
      <c r="Q55" s="1235"/>
      <c r="R55" s="1234"/>
      <c r="S55" s="1240"/>
      <c r="T55" s="1243" t="s">
        <v>215</v>
      </c>
      <c r="U55" s="1242"/>
      <c r="V55" s="1242"/>
      <c r="W55" s="1242"/>
      <c r="X55" s="1242"/>
      <c r="Y55" s="1242"/>
      <c r="Z55" s="1242"/>
      <c r="AA55" s="1242"/>
      <c r="AB55" s="1242"/>
      <c r="AC55" s="1242"/>
      <c r="AD55" s="1242"/>
      <c r="AE55" s="1242"/>
      <c r="AF55" s="1242"/>
      <c r="AG55" s="1242"/>
      <c r="AH55" s="1242"/>
      <c r="AI55" s="1242"/>
      <c r="AJ55" s="1242"/>
      <c r="AK55" s="1242"/>
      <c r="AL55" s="1242"/>
      <c r="AM55" s="1242"/>
      <c r="AO55" s="706"/>
      <c r="AP55" s="706" t="str">
        <f t="shared" si="1"/>
        <v>Добавить централизованную систему для дифференциации</v>
      </c>
      <c r="AQ55" s="706"/>
      <c r="AR55" s="706"/>
    </row>
    <row r="56" spans="1:44" s="1820" customFormat="1" ht="0.75" customHeight="1">
      <c r="A56" s="1260" t="s">
        <v>161</v>
      </c>
      <c r="B56" s="1260"/>
      <c r="C56" s="1260"/>
      <c r="D56" s="1260"/>
      <c r="E56" s="2270"/>
      <c r="F56" s="1260"/>
      <c r="G56" s="1260"/>
      <c r="H56" s="1260"/>
      <c r="I56" s="1260"/>
      <c r="J56" s="1260"/>
      <c r="K56" s="1260"/>
      <c r="L56" s="1263"/>
      <c r="M56" s="1239"/>
      <c r="N56" s="1239"/>
      <c r="O56" s="444"/>
      <c r="P56" s="313"/>
      <c r="Q56" s="1261"/>
      <c r="R56" s="313"/>
      <c r="S56" s="1240"/>
      <c r="T56" s="1243" t="s">
        <v>216</v>
      </c>
      <c r="U56" s="1242"/>
      <c r="V56" s="1242"/>
      <c r="W56" s="1242"/>
      <c r="X56" s="1242"/>
      <c r="Y56" s="1242"/>
      <c r="Z56" s="1242"/>
      <c r="AA56" s="1242"/>
      <c r="AB56" s="1242"/>
      <c r="AC56" s="1242"/>
      <c r="AD56" s="1242"/>
      <c r="AE56" s="1242"/>
      <c r="AF56" s="1242"/>
      <c r="AG56" s="1242"/>
      <c r="AH56" s="1242"/>
      <c r="AI56" s="1242"/>
      <c r="AJ56" s="1242"/>
      <c r="AK56" s="1242"/>
      <c r="AL56" s="1242"/>
      <c r="AM56" s="1242"/>
      <c r="AO56" s="426"/>
      <c r="AP56" s="426" t="str">
        <f t="shared" si="1"/>
        <v>Добавить территорию для дифференциации</v>
      </c>
      <c r="AQ56" s="426"/>
      <c r="AR56" s="426"/>
    </row>
    <row r="57" spans="1:44" s="1930" customFormat="1" ht="0.75" customHeight="1">
      <c r="A57" s="1232"/>
      <c r="B57" s="1232"/>
      <c r="C57" s="1232"/>
      <c r="D57" s="1232"/>
      <c r="E57" s="1260"/>
      <c r="F57" s="1232"/>
      <c r="G57" s="1232"/>
      <c r="H57" s="1232"/>
      <c r="I57" s="1232"/>
      <c r="J57" s="1232"/>
      <c r="K57" s="1232"/>
      <c r="L57" s="1256"/>
      <c r="M57" s="1239"/>
      <c r="N57" s="1239"/>
      <c r="P57" s="1234"/>
      <c r="Q57" s="1235"/>
      <c r="R57" s="1234"/>
      <c r="S57" s="1240"/>
      <c r="T57" s="1243" t="s">
        <v>217</v>
      </c>
      <c r="U57" s="1242"/>
      <c r="V57" s="1242"/>
      <c r="W57" s="1242"/>
      <c r="X57" s="1242"/>
      <c r="Y57" s="1242"/>
      <c r="Z57" s="1242"/>
      <c r="AA57" s="1242"/>
      <c r="AB57" s="1242"/>
      <c r="AC57" s="1242"/>
      <c r="AD57" s="1242"/>
      <c r="AE57" s="1242"/>
      <c r="AF57" s="1242"/>
      <c r="AG57" s="1242"/>
      <c r="AH57" s="1242"/>
      <c r="AI57" s="1242"/>
      <c r="AJ57" s="1242"/>
      <c r="AK57" s="1242"/>
      <c r="AL57" s="1242"/>
      <c r="AM57" s="1242"/>
      <c r="AO57" s="706"/>
      <c r="AP57" s="706" t="str">
        <f t="shared" si="1"/>
        <v>Добавить наименование тарифа</v>
      </c>
      <c r="AQ57" s="706"/>
      <c r="AR57" s="706"/>
    </row>
    <row r="58" spans="1:44" ht="11.25" customHeight="1">
      <c r="M58" s="1060"/>
      <c r="N58" s="1060"/>
      <c r="O58" s="462"/>
      <c r="P58" s="1055"/>
      <c r="Q58" s="1055"/>
      <c r="R58" s="1055"/>
      <c r="S58" s="1055"/>
      <c r="AN58" s="1055"/>
      <c r="AO58" s="1055"/>
      <c r="AP58" s="1055"/>
      <c r="AQ58" s="1055"/>
      <c r="AR58" s="1055"/>
    </row>
    <row r="59" spans="1:44" ht="27" customHeight="1">
      <c r="O59" s="462"/>
      <c r="S59" s="1164"/>
      <c r="T59" s="2290"/>
      <c r="U59" s="2290"/>
      <c r="V59" s="2290"/>
      <c r="W59" s="2290"/>
      <c r="X59" s="2290"/>
      <c r="Y59" s="2290"/>
      <c r="Z59" s="2290"/>
      <c r="AA59" s="2290"/>
      <c r="AB59" s="2290"/>
      <c r="AC59" s="2290"/>
      <c r="AD59" s="2290"/>
      <c r="AE59" s="2290"/>
      <c r="AF59" s="2290"/>
      <c r="AG59" s="2290"/>
      <c r="AH59" s="2290"/>
      <c r="AI59" s="2290"/>
      <c r="AJ59" s="2290"/>
      <c r="AK59" s="2290"/>
      <c r="AL59" s="2290"/>
      <c r="AM59" s="2290"/>
    </row>
    <row r="60" spans="1:44" ht="62.25" customHeight="1">
      <c r="O60" s="462"/>
      <c r="T60" s="2290"/>
      <c r="U60" s="2290"/>
      <c r="V60" s="2290"/>
      <c r="W60" s="2290"/>
      <c r="X60" s="2290"/>
      <c r="Y60" s="2290"/>
      <c r="Z60" s="2290"/>
      <c r="AA60" s="2290"/>
      <c r="AB60" s="2290"/>
      <c r="AC60" s="2290"/>
      <c r="AD60" s="2290"/>
      <c r="AE60" s="2290"/>
      <c r="AF60" s="2290"/>
      <c r="AG60" s="2290"/>
      <c r="AH60" s="2290"/>
      <c r="AI60" s="2290"/>
      <c r="AJ60" s="2290"/>
      <c r="AK60" s="2290"/>
      <c r="AL60" s="2290"/>
      <c r="AM60" s="2290"/>
    </row>
    <row r="61" spans="1:44" ht="14.25" customHeight="1">
      <c r="O61" s="462"/>
    </row>
    <row r="62" spans="1:44" ht="18" customHeight="1">
      <c r="O62" s="462"/>
      <c r="S62" s="1164"/>
      <c r="T62" s="2290"/>
      <c r="U62" s="2290"/>
      <c r="V62" s="2290"/>
      <c r="W62" s="2290"/>
      <c r="X62" s="2290"/>
      <c r="Y62" s="2290"/>
      <c r="Z62" s="2290"/>
      <c r="AA62" s="2290"/>
      <c r="AB62" s="2290"/>
      <c r="AC62" s="2290"/>
      <c r="AD62" s="2290"/>
      <c r="AE62" s="2290"/>
      <c r="AF62" s="2290"/>
      <c r="AG62" s="2290"/>
      <c r="AH62" s="2290"/>
      <c r="AI62" s="2290"/>
      <c r="AJ62" s="2290"/>
      <c r="AK62" s="2290"/>
      <c r="AL62" s="2290"/>
      <c r="AM62" s="2290"/>
    </row>
    <row r="63" spans="1:44" ht="18" customHeight="1">
      <c r="O63" s="462"/>
      <c r="T63" s="2290"/>
      <c r="U63" s="2290"/>
      <c r="V63" s="2290"/>
      <c r="W63" s="2290"/>
      <c r="X63" s="2290"/>
      <c r="Y63" s="2290"/>
      <c r="Z63" s="2290"/>
      <c r="AA63" s="2290"/>
      <c r="AB63" s="2290"/>
      <c r="AC63" s="2290"/>
      <c r="AD63" s="2290"/>
      <c r="AE63" s="2290"/>
      <c r="AF63" s="2290"/>
      <c r="AG63" s="2290"/>
      <c r="AH63" s="2290"/>
      <c r="AI63" s="2290"/>
      <c r="AJ63" s="2290"/>
      <c r="AK63" s="2290"/>
      <c r="AL63" s="2290"/>
      <c r="AM63" s="2290"/>
    </row>
    <row r="64" spans="1:44" ht="27.75" customHeight="1">
      <c r="O64" s="462"/>
      <c r="S64" s="1164"/>
      <c r="T64" s="2290"/>
      <c r="U64" s="2290"/>
      <c r="V64" s="2290"/>
      <c r="W64" s="2290"/>
      <c r="X64" s="2290"/>
      <c r="Y64" s="2290"/>
      <c r="Z64" s="2290"/>
      <c r="AA64" s="2290"/>
      <c r="AB64" s="2290"/>
      <c r="AC64" s="2290"/>
      <c r="AD64" s="2290"/>
      <c r="AE64" s="2290"/>
      <c r="AF64" s="2290"/>
      <c r="AG64" s="2290"/>
      <c r="AH64" s="2290"/>
      <c r="AI64" s="2290"/>
      <c r="AJ64" s="2290"/>
      <c r="AK64" s="2290"/>
      <c r="AL64" s="2290"/>
      <c r="AM64" s="2290"/>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FA51-4DD9-99B8-D697-07EDCCF0C5D9}">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2" style="1931" hidden="1" customWidth="1"/>
    <col min="10" max="10" width="9.85546875" style="1931" hidden="1" customWidth="1"/>
    <col min="11" max="11" width="11.42578125" style="1931" hidden="1" customWidth="1"/>
    <col min="12" max="12" width="19.140625" style="1932" hidden="1" customWidth="1"/>
    <col min="13" max="14" width="12.28515625" style="1933" hidden="1" customWidth="1"/>
    <col min="15" max="15" width="23.42578125" style="1933" hidden="1" customWidth="1"/>
    <col min="16" max="16" width="3.7109375" style="1937" customWidth="1"/>
    <col min="17" max="18" width="3.7109375" style="1939" customWidth="1"/>
    <col min="19" max="19" width="12.7109375" style="1940" customWidth="1"/>
    <col min="20" max="20" width="32" style="1905" customWidth="1"/>
    <col min="21" max="21" width="0.7109375" style="1905" hidden="1" customWidth="1"/>
    <col min="22" max="22" width="1.7109375" style="1905" hidden="1" customWidth="1"/>
    <col min="23" max="23" width="24.7109375" style="1905" hidden="1" customWidth="1"/>
    <col min="24" max="25" width="0.140625" style="1905" hidden="1" customWidth="1"/>
    <col min="26" max="26" width="11.7109375" style="1905" hidden="1" customWidth="1"/>
    <col min="27" max="27" width="3.7109375" style="1905" hidden="1" customWidth="1"/>
    <col min="28" max="28" width="11.7109375" style="1905" hidden="1" customWidth="1"/>
    <col min="29" max="29" width="8.5703125" style="1905" hidden="1" customWidth="1"/>
    <col min="30" max="30" width="0.140625" style="1905" customWidth="1"/>
    <col min="31" max="31" width="24.7109375" style="1905" customWidth="1"/>
    <col min="32" max="33" width="0.140625" style="1905" customWidth="1"/>
    <col min="34" max="34" width="11.7109375" style="1905" customWidth="1"/>
    <col min="35" max="35" width="3.7109375" style="1905" customWidth="1"/>
    <col min="36" max="36" width="11.7109375" style="1905" customWidth="1"/>
    <col min="37" max="37" width="8.5703125" style="1905" hidden="1" customWidth="1"/>
    <col min="38" max="38" width="4.7109375" style="1905" customWidth="1"/>
    <col min="39" max="39" width="115.7109375" style="1905" customWidth="1"/>
    <col min="40" max="41" width="10.5703125" style="1820"/>
    <col min="42" max="42" width="11.140625" style="1820" customWidth="1"/>
    <col min="43" max="44" width="10.5703125" style="1820"/>
  </cols>
  <sheetData>
    <row r="1" spans="1:44" ht="14.25" hidden="1" customHeight="1">
      <c r="Y1" s="253"/>
      <c r="Z1" s="253"/>
      <c r="AG1" s="253"/>
      <c r="AH1" s="253"/>
    </row>
    <row r="2" spans="1:44" ht="21" hidden="1" customHeight="1">
      <c r="A2" s="1279"/>
      <c r="B2" s="1279"/>
      <c r="C2" s="1279"/>
      <c r="D2" s="1279"/>
      <c r="E2" s="2270">
        <v>1</v>
      </c>
      <c r="F2" s="1279"/>
      <c r="G2" s="1279"/>
      <c r="H2" s="1279"/>
      <c r="I2" s="1279"/>
      <c r="J2" s="1279"/>
      <c r="K2" s="1279"/>
      <c r="L2" s="1280"/>
      <c r="M2" s="1281"/>
      <c r="N2" s="1281"/>
      <c r="O2" s="1281"/>
      <c r="P2" s="286"/>
      <c r="Q2" s="285"/>
      <c r="R2" s="280"/>
      <c r="S2" s="1253" t="e">
        <f>INDEX(PT_DIFFERENTIATION_NUM_NTAR,MATCH(A2,PT_DIFFERENTIATION_NTAR_ID,0))</f>
        <v>#N/A</v>
      </c>
      <c r="T2" s="216" t="s">
        <v>122</v>
      </c>
      <c r="U2" s="218"/>
      <c r="V2" s="2256"/>
      <c r="W2" s="2257"/>
      <c r="X2" s="2257"/>
      <c r="Y2" s="2257"/>
      <c r="Z2" s="2257"/>
      <c r="AA2" s="2257"/>
      <c r="AB2" s="2257"/>
      <c r="AC2" s="2258"/>
      <c r="AD2" s="2256" t="e">
        <f>INDEX(PT_DIFFERENTIATION_NTAR,MATCH(A2,PT_DIFFERENTIATION_NTAR_ID,0))</f>
        <v>#N/A</v>
      </c>
      <c r="AE2" s="2257"/>
      <c r="AF2" s="2257"/>
      <c r="AG2" s="2257"/>
      <c r="AH2" s="2257"/>
      <c r="AI2" s="2257"/>
      <c r="AJ2" s="2257"/>
      <c r="AK2" s="2257"/>
      <c r="AL2" s="2258"/>
      <c r="AM2" s="1177" t="s">
        <v>387</v>
      </c>
      <c r="AO2" s="426"/>
      <c r="AP2" s="426" t="str">
        <f t="shared" ref="AP2:AP15" si="0">IF(T2="","",T2)</f>
        <v>Наименование тарифа</v>
      </c>
      <c r="AQ2" s="426"/>
      <c r="AR2" s="426"/>
    </row>
    <row r="3" spans="1:44" ht="21" hidden="1" customHeight="1">
      <c r="A3" s="1279"/>
      <c r="B3" s="1279"/>
      <c r="C3" s="1279"/>
      <c r="D3" s="1279"/>
      <c r="E3" s="2271"/>
      <c r="F3" s="2270">
        <v>1</v>
      </c>
      <c r="G3" s="1279"/>
      <c r="H3" s="1279"/>
      <c r="I3" s="1279"/>
      <c r="J3" s="1279"/>
      <c r="K3" s="1279"/>
      <c r="L3" s="1280"/>
      <c r="M3" s="1281"/>
      <c r="N3" s="1281"/>
      <c r="O3" s="1281"/>
      <c r="P3" s="1249"/>
      <c r="Q3" s="277"/>
      <c r="R3" s="278"/>
      <c r="S3" s="1253" t="e">
        <f>INDEX(PT_DIFFERENTIATION_NUM_TER,MATCH(B3,PT_DIFFERENTIATION_TER_ID,0))</f>
        <v>#N/A</v>
      </c>
      <c r="T3" s="228" t="s">
        <v>388</v>
      </c>
      <c r="U3" s="218"/>
      <c r="V3" s="2256"/>
      <c r="W3" s="2257"/>
      <c r="X3" s="2257"/>
      <c r="Y3" s="2257"/>
      <c r="Z3" s="2257"/>
      <c r="AA3" s="2257"/>
      <c r="AB3" s="2257"/>
      <c r="AC3" s="2258"/>
      <c r="AD3" s="2256" t="e">
        <f>INDEX(PT_DIFFERENTIATION_TER,MATCH(B3,PT_DIFFERENTIATION_TER_ID,0))</f>
        <v>#N/A</v>
      </c>
      <c r="AE3" s="2257"/>
      <c r="AF3" s="2257"/>
      <c r="AG3" s="2257"/>
      <c r="AH3" s="2257"/>
      <c r="AI3" s="2257"/>
      <c r="AJ3" s="2257"/>
      <c r="AK3" s="2257"/>
      <c r="AL3" s="2258"/>
      <c r="AM3" s="1177" t="s">
        <v>389</v>
      </c>
      <c r="AO3" s="426"/>
      <c r="AP3" s="426" t="str">
        <f t="shared" si="0"/>
        <v>Территория действия тарифа</v>
      </c>
      <c r="AQ3" s="426"/>
      <c r="AR3" s="426"/>
    </row>
    <row r="4" spans="1:44" ht="23.25" hidden="1" customHeight="1">
      <c r="A4" s="1279"/>
      <c r="B4" s="1279"/>
      <c r="C4" s="1279"/>
      <c r="D4" s="1279"/>
      <c r="E4" s="2271"/>
      <c r="F4" s="2271"/>
      <c r="G4" s="2270">
        <v>1</v>
      </c>
      <c r="H4" s="1279"/>
      <c r="I4" s="1279"/>
      <c r="J4" s="1279"/>
      <c r="K4" s="1279"/>
      <c r="L4" s="1280"/>
      <c r="M4" s="1281"/>
      <c r="N4" s="1281"/>
      <c r="O4" s="1281"/>
      <c r="P4" s="279"/>
      <c r="Q4" s="277"/>
      <c r="R4" s="278"/>
      <c r="S4" s="1253" t="e">
        <f>INDEX(PT_DIFFERENTIATION_NUM_CS,MATCH(C4,PT_DIFFERENTIATION_CS_ID,0))</f>
        <v>#N/A</v>
      </c>
      <c r="T4" s="229" t="s">
        <v>390</v>
      </c>
      <c r="U4" s="218"/>
      <c r="V4" s="2256"/>
      <c r="W4" s="2257"/>
      <c r="X4" s="2257"/>
      <c r="Y4" s="2257"/>
      <c r="Z4" s="2257"/>
      <c r="AA4" s="2257"/>
      <c r="AB4" s="2257"/>
      <c r="AC4" s="2258"/>
      <c r="AD4" s="2256" t="e">
        <f>INDEX(PT_DIFFERENTIATION_CS,MATCH(C4,PT_DIFFERENTIATION_CS_ID,0))</f>
        <v>#N/A</v>
      </c>
      <c r="AE4" s="2257"/>
      <c r="AF4" s="2257"/>
      <c r="AG4" s="2257"/>
      <c r="AH4" s="2257"/>
      <c r="AI4" s="2257"/>
      <c r="AJ4" s="2257"/>
      <c r="AK4" s="2257"/>
      <c r="AL4" s="2258"/>
      <c r="AM4" s="1177" t="s">
        <v>391</v>
      </c>
      <c r="AO4" s="426"/>
      <c r="AP4" s="426" t="str">
        <f t="shared" si="0"/>
        <v xml:space="preserve">Наименование системы теплоснабжения </v>
      </c>
      <c r="AQ4" s="426"/>
      <c r="AR4" s="426"/>
    </row>
    <row r="5" spans="1:44" ht="21" hidden="1" customHeight="1">
      <c r="A5" s="1279"/>
      <c r="B5" s="1279"/>
      <c r="C5" s="1279"/>
      <c r="D5" s="1279"/>
      <c r="E5" s="2271"/>
      <c r="F5" s="2271"/>
      <c r="G5" s="2271"/>
      <c r="H5" s="2270">
        <v>1</v>
      </c>
      <c r="I5" s="1279"/>
      <c r="J5" s="1279"/>
      <c r="K5" s="1279"/>
      <c r="L5" s="1280"/>
      <c r="M5" s="1281"/>
      <c r="N5" s="1281"/>
      <c r="O5" s="1281"/>
      <c r="P5" s="279"/>
      <c r="Q5" s="277"/>
      <c r="R5" s="278"/>
      <c r="S5" s="1253" t="e">
        <f>INDEX(PT_DIFFERENTIATION_NUM_IST_TE,MATCH(D5,PT_DIFFERENTIATION_IST_TE_ID,0))</f>
        <v>#N/A</v>
      </c>
      <c r="T5" s="230" t="s">
        <v>392</v>
      </c>
      <c r="U5" s="218"/>
      <c r="V5" s="2256"/>
      <c r="W5" s="2257"/>
      <c r="X5" s="2257"/>
      <c r="Y5" s="2257"/>
      <c r="Z5" s="2257"/>
      <c r="AA5" s="2257"/>
      <c r="AB5" s="2257"/>
      <c r="AC5" s="2258"/>
      <c r="AD5" s="2256" t="e">
        <f>INDEX(PT_DIFFERENTIATION_IST_TE,MATCH(D5,PT_DIFFERENTIATION_IST_TE_ID,0))</f>
        <v>#N/A</v>
      </c>
      <c r="AE5" s="2257"/>
      <c r="AF5" s="2257"/>
      <c r="AG5" s="2257"/>
      <c r="AH5" s="2257"/>
      <c r="AI5" s="2257"/>
      <c r="AJ5" s="2257"/>
      <c r="AK5" s="2257"/>
      <c r="AL5" s="2258"/>
      <c r="AM5" s="1177" t="s">
        <v>393</v>
      </c>
      <c r="AO5" s="426"/>
      <c r="AP5" s="426" t="str">
        <f t="shared" si="0"/>
        <v xml:space="preserve">Источник тепловой энергии  </v>
      </c>
      <c r="AQ5" s="426"/>
      <c r="AR5" s="426"/>
    </row>
    <row r="6" spans="1:44" ht="47.25" hidden="1" customHeight="1">
      <c r="A6" s="1279"/>
      <c r="B6" s="1279"/>
      <c r="C6" s="1279"/>
      <c r="D6" s="1279"/>
      <c r="E6" s="2271"/>
      <c r="F6" s="2271"/>
      <c r="G6" s="2271"/>
      <c r="H6" s="2271"/>
      <c r="I6" s="2268" t="e">
        <f>S5&amp;".1"</f>
        <v>#N/A</v>
      </c>
      <c r="J6" s="1279"/>
      <c r="K6" s="1279"/>
      <c r="L6" s="1280" t="s">
        <v>394</v>
      </c>
      <c r="M6" s="462"/>
      <c r="P6" s="2269">
        <v>1</v>
      </c>
      <c r="Q6" s="1248"/>
      <c r="R6" s="281"/>
      <c r="S6" s="1253" t="e">
        <f>$I6</f>
        <v>#N/A</v>
      </c>
      <c r="T6" s="203" t="s">
        <v>395</v>
      </c>
      <c r="U6" s="218"/>
      <c r="V6" s="2259"/>
      <c r="W6" s="2260"/>
      <c r="X6" s="2260"/>
      <c r="Y6" s="2260"/>
      <c r="Z6" s="2260"/>
      <c r="AA6" s="2260"/>
      <c r="AB6" s="2260"/>
      <c r="AC6" s="2261"/>
      <c r="AD6" s="2259"/>
      <c r="AE6" s="2260"/>
      <c r="AF6" s="2260"/>
      <c r="AG6" s="2260"/>
      <c r="AH6" s="2260"/>
      <c r="AI6" s="2260"/>
      <c r="AJ6" s="2260"/>
      <c r="AK6" s="2260"/>
      <c r="AL6" s="2261"/>
      <c r="AM6" s="1177" t="s">
        <v>396</v>
      </c>
      <c r="AO6" s="426"/>
      <c r="AP6" s="426" t="str">
        <f t="shared" si="0"/>
        <v>Схема подключения теплопотребляющей установки к коллектору источника тепловой энергии</v>
      </c>
      <c r="AQ6" s="426"/>
      <c r="AR6" s="426"/>
    </row>
    <row r="7" spans="1:44" ht="21" hidden="1" customHeight="1">
      <c r="A7" s="1279"/>
      <c r="B7" s="1279"/>
      <c r="C7" s="1279"/>
      <c r="D7" s="1279"/>
      <c r="E7" s="2271"/>
      <c r="F7" s="2271"/>
      <c r="G7" s="2271"/>
      <c r="H7" s="2271"/>
      <c r="I7" s="2291"/>
      <c r="J7" s="2268" t="e">
        <f>I6&amp;".1"</f>
        <v>#N/A</v>
      </c>
      <c r="K7" s="1279"/>
      <c r="L7" s="1280" t="s">
        <v>397</v>
      </c>
      <c r="M7" s="462"/>
      <c r="N7" s="1282"/>
      <c r="P7" s="2269"/>
      <c r="Q7" s="2269">
        <v>1</v>
      </c>
      <c r="R7" s="282"/>
      <c r="S7" s="1253" t="e">
        <f>$J7</f>
        <v>#N/A</v>
      </c>
      <c r="T7" s="204" t="s">
        <v>398</v>
      </c>
      <c r="U7" s="218"/>
      <c r="V7" s="2259"/>
      <c r="W7" s="2260"/>
      <c r="X7" s="2260"/>
      <c r="Y7" s="2260"/>
      <c r="Z7" s="2260"/>
      <c r="AA7" s="2260"/>
      <c r="AB7" s="2260"/>
      <c r="AC7" s="2261"/>
      <c r="AD7" s="2259"/>
      <c r="AE7" s="2260"/>
      <c r="AF7" s="2260"/>
      <c r="AG7" s="2260"/>
      <c r="AH7" s="2260"/>
      <c r="AI7" s="2260"/>
      <c r="AJ7" s="2260"/>
      <c r="AK7" s="2260"/>
      <c r="AL7" s="2261"/>
      <c r="AM7" s="1177" t="s">
        <v>399</v>
      </c>
      <c r="AO7" s="426"/>
      <c r="AP7" s="426" t="str">
        <f t="shared" si="0"/>
        <v>Группа потребителей</v>
      </c>
      <c r="AQ7" s="426"/>
      <c r="AR7" s="426"/>
    </row>
    <row r="8" spans="1:44" ht="21" hidden="1" customHeight="1">
      <c r="A8" s="1279"/>
      <c r="B8" s="1279"/>
      <c r="C8" s="1279"/>
      <c r="D8" s="1279"/>
      <c r="E8" s="2271"/>
      <c r="F8" s="2271"/>
      <c r="G8" s="2271"/>
      <c r="H8" s="2271"/>
      <c r="I8" s="2291"/>
      <c r="J8" s="2291"/>
      <c r="K8" s="2268" t="e">
        <f>J7&amp;".1"</f>
        <v>#N/A</v>
      </c>
      <c r="L8" s="1280" t="s">
        <v>400</v>
      </c>
      <c r="M8" s="462"/>
      <c r="N8" s="1282"/>
      <c r="O8" s="1282"/>
      <c r="P8" s="2269"/>
      <c r="Q8" s="2269"/>
      <c r="R8" s="282">
        <v>1</v>
      </c>
      <c r="S8" s="1253" t="e">
        <f>$K8</f>
        <v>#N/A</v>
      </c>
      <c r="T8" s="1264"/>
      <c r="U8" s="218"/>
      <c r="V8" s="250"/>
      <c r="W8" s="668"/>
      <c r="X8" s="250"/>
      <c r="Y8" s="318"/>
      <c r="Z8" s="2273"/>
      <c r="AA8" s="2124" t="s">
        <v>61</v>
      </c>
      <c r="AB8" s="2273"/>
      <c r="AC8" s="2124" t="s">
        <v>61</v>
      </c>
      <c r="AD8" s="250"/>
      <c r="AE8" s="668"/>
      <c r="AF8" s="250"/>
      <c r="AG8" s="318"/>
      <c r="AH8" s="2273"/>
      <c r="AI8" s="2124" t="s">
        <v>61</v>
      </c>
      <c r="AJ8" s="2273"/>
      <c r="AK8" s="2124" t="s">
        <v>61</v>
      </c>
      <c r="AL8" s="250"/>
      <c r="AM8" s="2265" t="s">
        <v>401</v>
      </c>
      <c r="AN8" s="437" t="e">
        <f ca="1">STRCHECKDATE(V9:AL9)</f>
        <v>#NAME?</v>
      </c>
      <c r="AO8" s="426"/>
      <c r="AP8" s="426" t="str">
        <f t="shared" si="0"/>
        <v/>
      </c>
      <c r="AQ8" s="426"/>
      <c r="AR8" s="426"/>
    </row>
    <row r="9" spans="1:44" ht="0.75" hidden="1" customHeight="1">
      <c r="A9" s="1279"/>
      <c r="B9" s="1279"/>
      <c r="C9" s="1279"/>
      <c r="D9" s="1279"/>
      <c r="E9" s="2271"/>
      <c r="F9" s="2271"/>
      <c r="G9" s="2271"/>
      <c r="H9" s="2271"/>
      <c r="I9" s="2291"/>
      <c r="J9" s="2291"/>
      <c r="K9" s="2268"/>
      <c r="L9" s="1280"/>
      <c r="M9" s="462"/>
      <c r="N9" s="1282"/>
      <c r="O9" s="1282"/>
      <c r="P9" s="2269"/>
      <c r="Q9" s="2269"/>
      <c r="R9" s="282"/>
      <c r="S9" s="1259"/>
      <c r="T9" s="218"/>
      <c r="U9" s="218"/>
      <c r="V9" s="250"/>
      <c r="W9" s="250"/>
      <c r="X9" s="250"/>
      <c r="Y9" s="254" t="str">
        <f>Z8&amp;"-"&amp;AB8</f>
        <v>-</v>
      </c>
      <c r="Z9" s="2274"/>
      <c r="AA9" s="2124"/>
      <c r="AB9" s="2274"/>
      <c r="AC9" s="2124"/>
      <c r="AD9" s="250"/>
      <c r="AE9" s="250"/>
      <c r="AF9" s="250"/>
      <c r="AG9" s="254" t="str">
        <f>AH8&amp;"-"&amp;AJ8</f>
        <v>-</v>
      </c>
      <c r="AH9" s="2274"/>
      <c r="AI9" s="2124"/>
      <c r="AJ9" s="2274"/>
      <c r="AK9" s="2124"/>
      <c r="AL9" s="250"/>
      <c r="AM9" s="2266"/>
      <c r="AO9" s="426"/>
      <c r="AP9" s="426" t="str">
        <f t="shared" si="0"/>
        <v/>
      </c>
      <c r="AQ9" s="426"/>
      <c r="AR9" s="426"/>
    </row>
    <row r="10" spans="1:44" ht="15" hidden="1" customHeight="1">
      <c r="A10" s="1279"/>
      <c r="B10" s="1279"/>
      <c r="C10" s="1279"/>
      <c r="D10" s="1279"/>
      <c r="E10" s="2271"/>
      <c r="F10" s="2271"/>
      <c r="G10" s="2271"/>
      <c r="H10" s="2271"/>
      <c r="I10" s="2291"/>
      <c r="J10" s="2268"/>
      <c r="K10" s="1279"/>
      <c r="L10" s="1280"/>
      <c r="M10" s="462"/>
      <c r="N10" s="1282"/>
      <c r="P10" s="2269"/>
      <c r="Q10" s="2269"/>
      <c r="R10" s="281"/>
      <c r="S10" s="1198"/>
      <c r="T10" s="206" t="s">
        <v>402</v>
      </c>
      <c r="U10" s="295"/>
      <c r="V10" s="295"/>
      <c r="W10" s="295"/>
      <c r="X10" s="295"/>
      <c r="Y10" s="295"/>
      <c r="Z10" s="295"/>
      <c r="AA10" s="295"/>
      <c r="AB10" s="295"/>
      <c r="AC10" s="295"/>
      <c r="AD10" s="295"/>
      <c r="AE10" s="295"/>
      <c r="AF10" s="295"/>
      <c r="AG10" s="295"/>
      <c r="AH10" s="295"/>
      <c r="AI10" s="295"/>
      <c r="AJ10" s="295"/>
      <c r="AK10" s="295"/>
      <c r="AL10" s="249"/>
      <c r="AM10" s="2267"/>
      <c r="AO10" s="426"/>
      <c r="AP10" s="426" t="str">
        <f t="shared" si="0"/>
        <v>Добавить вид теплоносителя (параметры теплоносителя)</v>
      </c>
      <c r="AQ10" s="426"/>
      <c r="AR10" s="426"/>
    </row>
    <row r="11" spans="1:44" ht="15" hidden="1" customHeight="1">
      <c r="A11" s="1279"/>
      <c r="B11" s="1279"/>
      <c r="C11" s="1279"/>
      <c r="D11" s="1279"/>
      <c r="E11" s="2271"/>
      <c r="F11" s="2271"/>
      <c r="G11" s="2271"/>
      <c r="H11" s="2271"/>
      <c r="I11" s="2268"/>
      <c r="J11" s="1279"/>
      <c r="K11" s="1279"/>
      <c r="L11" s="1280"/>
      <c r="M11" s="462"/>
      <c r="P11" s="2269"/>
      <c r="Q11" s="1248"/>
      <c r="R11" s="281"/>
      <c r="S11" s="1198"/>
      <c r="T11" s="205" t="s">
        <v>403</v>
      </c>
      <c r="U11" s="295"/>
      <c r="V11" s="295"/>
      <c r="W11" s="295"/>
      <c r="X11" s="295"/>
      <c r="Y11" s="295"/>
      <c r="Z11" s="295"/>
      <c r="AA11" s="295"/>
      <c r="AB11" s="295"/>
      <c r="AC11" s="294"/>
      <c r="AD11" s="295"/>
      <c r="AE11" s="295"/>
      <c r="AF11" s="295"/>
      <c r="AG11" s="295"/>
      <c r="AH11" s="295"/>
      <c r="AI11" s="295"/>
      <c r="AJ11" s="295"/>
      <c r="AK11" s="294"/>
      <c r="AL11" s="295"/>
      <c r="AM11" s="221"/>
      <c r="AO11" s="426"/>
      <c r="AP11" s="426" t="str">
        <f t="shared" si="0"/>
        <v>Добавить группу потребителей</v>
      </c>
      <c r="AQ11" s="426"/>
      <c r="AR11" s="426"/>
    </row>
    <row r="12" spans="1:44" ht="14.25" hidden="1" customHeight="1">
      <c r="A12" s="1279"/>
      <c r="B12" s="1279"/>
      <c r="C12" s="1279"/>
      <c r="D12" s="1279"/>
      <c r="E12" s="2271"/>
      <c r="F12" s="2271"/>
      <c r="G12" s="2271"/>
      <c r="H12" s="2270"/>
      <c r="I12" s="1279"/>
      <c r="J12" s="1279"/>
      <c r="K12" s="1279"/>
      <c r="L12" s="1280"/>
      <c r="M12" s="1281"/>
      <c r="N12" s="1281"/>
      <c r="O12" s="462"/>
      <c r="P12" s="285"/>
      <c r="Q12" s="304"/>
      <c r="R12" s="280"/>
      <c r="S12" s="1198"/>
      <c r="T12" s="292" t="s">
        <v>404</v>
      </c>
      <c r="U12" s="295"/>
      <c r="V12" s="295"/>
      <c r="W12" s="295"/>
      <c r="X12" s="295"/>
      <c r="Y12" s="295"/>
      <c r="Z12" s="295"/>
      <c r="AA12" s="295"/>
      <c r="AB12" s="295"/>
      <c r="AC12" s="294"/>
      <c r="AD12" s="295"/>
      <c r="AE12" s="295"/>
      <c r="AF12" s="295"/>
      <c r="AG12" s="295"/>
      <c r="AH12" s="295"/>
      <c r="AI12" s="295"/>
      <c r="AJ12" s="295"/>
      <c r="AK12" s="294"/>
      <c r="AL12" s="295"/>
      <c r="AM12" s="221"/>
      <c r="AO12" s="426"/>
      <c r="AP12" s="426" t="str">
        <f t="shared" si="0"/>
        <v>Добавить схему подключения</v>
      </c>
      <c r="AQ12" s="426"/>
      <c r="AR12" s="426"/>
    </row>
    <row r="13" spans="1:44" s="1930" customFormat="1" ht="0.75" hidden="1" customHeight="1">
      <c r="A13" s="1232"/>
      <c r="B13" s="1232"/>
      <c r="C13" s="1232"/>
      <c r="D13" s="1232"/>
      <c r="E13" s="2271"/>
      <c r="F13" s="2271"/>
      <c r="G13" s="2270"/>
      <c r="H13" s="1232"/>
      <c r="I13" s="1232"/>
      <c r="J13" s="1232"/>
      <c r="K13" s="1232"/>
      <c r="L13" s="1256"/>
      <c r="M13" s="1233"/>
      <c r="N13" s="1233"/>
      <c r="P13" s="1234"/>
      <c r="Q13" s="1235"/>
      <c r="R13" s="1234"/>
      <c r="S13" s="1236"/>
      <c r="T13" s="1237" t="s">
        <v>405</v>
      </c>
      <c r="U13" s="1238"/>
      <c r="V13" s="1238"/>
      <c r="W13" s="1238"/>
      <c r="X13" s="1238"/>
      <c r="Y13" s="1238"/>
      <c r="Z13" s="1238"/>
      <c r="AA13" s="1238"/>
      <c r="AB13" s="1238"/>
      <c r="AC13" s="1238"/>
      <c r="AD13" s="1238"/>
      <c r="AE13" s="1238"/>
      <c r="AF13" s="1238"/>
      <c r="AG13" s="1238"/>
      <c r="AH13" s="1238"/>
      <c r="AI13" s="1238"/>
      <c r="AJ13" s="1238"/>
      <c r="AK13" s="1238"/>
      <c r="AL13" s="1238"/>
      <c r="AM13" s="1238"/>
      <c r="AO13" s="706"/>
      <c r="AP13" s="706" t="str">
        <f t="shared" si="0"/>
        <v>Добавить источник для дифференциации</v>
      </c>
      <c r="AQ13" s="706"/>
      <c r="AR13" s="706"/>
    </row>
    <row r="14" spans="1:44" s="1930" customFormat="1" ht="0.75" hidden="1" customHeight="1">
      <c r="A14" s="1232"/>
      <c r="B14" s="1232"/>
      <c r="C14" s="1232"/>
      <c r="D14" s="1232"/>
      <c r="E14" s="2271"/>
      <c r="F14" s="2270"/>
      <c r="G14" s="1232"/>
      <c r="H14" s="1232"/>
      <c r="I14" s="1232"/>
      <c r="J14" s="1232"/>
      <c r="K14" s="1232"/>
      <c r="L14" s="1256"/>
      <c r="M14" s="1239"/>
      <c r="N14" s="1239"/>
      <c r="P14" s="1234"/>
      <c r="Q14" s="1235"/>
      <c r="R14" s="1234"/>
      <c r="S14" s="1240"/>
      <c r="T14" s="1241" t="s">
        <v>215</v>
      </c>
      <c r="U14" s="1242"/>
      <c r="V14" s="1242"/>
      <c r="W14" s="1242"/>
      <c r="X14" s="1242"/>
      <c r="Y14" s="1242"/>
      <c r="Z14" s="1242"/>
      <c r="AA14" s="1242"/>
      <c r="AB14" s="1242"/>
      <c r="AC14" s="1242"/>
      <c r="AD14" s="1242"/>
      <c r="AE14" s="1242"/>
      <c r="AF14" s="1242"/>
      <c r="AG14" s="1242"/>
      <c r="AH14" s="1242"/>
      <c r="AI14" s="1242"/>
      <c r="AJ14" s="1242"/>
      <c r="AK14" s="1242"/>
      <c r="AL14" s="1242"/>
      <c r="AM14" s="1242"/>
      <c r="AO14" s="706"/>
      <c r="AP14" s="706" t="str">
        <f t="shared" si="0"/>
        <v>Добавить централизованную систему для дифференциации</v>
      </c>
      <c r="AQ14" s="706"/>
      <c r="AR14" s="706"/>
    </row>
    <row r="15" spans="1:44" s="1930" customFormat="1" ht="0.75" hidden="1" customHeight="1">
      <c r="A15" s="1232"/>
      <c r="B15" s="1232"/>
      <c r="C15" s="1232"/>
      <c r="D15" s="1232"/>
      <c r="E15" s="2270"/>
      <c r="F15" s="1232"/>
      <c r="G15" s="1232"/>
      <c r="H15" s="1232"/>
      <c r="I15" s="1232"/>
      <c r="J15" s="1232"/>
      <c r="K15" s="1232"/>
      <c r="L15" s="1256"/>
      <c r="M15" s="1239"/>
      <c r="N15" s="1239"/>
      <c r="P15" s="1234"/>
      <c r="Q15" s="1235"/>
      <c r="R15" s="1234"/>
      <c r="S15" s="1240"/>
      <c r="T15" s="1243" t="s">
        <v>216</v>
      </c>
      <c r="U15" s="1242"/>
      <c r="V15" s="1242"/>
      <c r="W15" s="1242"/>
      <c r="X15" s="1242"/>
      <c r="Y15" s="1242"/>
      <c r="Z15" s="1242"/>
      <c r="AA15" s="1242"/>
      <c r="AB15" s="1242"/>
      <c r="AC15" s="1242"/>
      <c r="AD15" s="1242"/>
      <c r="AE15" s="1242"/>
      <c r="AF15" s="1242"/>
      <c r="AG15" s="1242"/>
      <c r="AH15" s="1242"/>
      <c r="AI15" s="1242"/>
      <c r="AJ15" s="1242"/>
      <c r="AK15" s="1242"/>
      <c r="AL15" s="1242"/>
      <c r="AM15" s="1242"/>
      <c r="AO15" s="706"/>
      <c r="AP15" s="706" t="str">
        <f t="shared" si="0"/>
        <v>Добавить территорию для дифференциации</v>
      </c>
      <c r="AQ15" s="706"/>
      <c r="AR15" s="706"/>
    </row>
    <row r="16" spans="1:44" ht="14.25" hidden="1" customHeight="1">
      <c r="AC16" s="253"/>
      <c r="AK16" s="253"/>
    </row>
    <row r="17" spans="1:44" ht="14.25" hidden="1" customHeight="1">
      <c r="AD17" s="1276"/>
      <c r="AE17" s="1276"/>
      <c r="AF17" s="1276"/>
      <c r="AG17" s="1277"/>
      <c r="AH17" s="2275"/>
      <c r="AI17" s="2276" t="s">
        <v>61</v>
      </c>
      <c r="AJ17" s="2275"/>
      <c r="AK17" s="2276" t="s">
        <v>61</v>
      </c>
    </row>
    <row r="18" spans="1:44" ht="14.25" hidden="1" customHeight="1">
      <c r="AD18" s="1276"/>
      <c r="AE18" s="1276"/>
      <c r="AF18" s="1276"/>
      <c r="AG18" s="254" t="str">
        <f>AH17&amp;"-"&amp;AJ17</f>
        <v>-</v>
      </c>
      <c r="AH18" s="2276"/>
      <c r="AI18" s="2276"/>
      <c r="AJ18" s="2276"/>
      <c r="AK18" s="2276"/>
    </row>
    <row r="19" spans="1:44" ht="14.25" hidden="1" customHeight="1">
      <c r="AK19" s="253"/>
    </row>
    <row r="20" spans="1:44" s="1931" customFormat="1" ht="22.5" hidden="1" customHeight="1">
      <c r="L20" s="1246"/>
      <c r="M20" s="1278"/>
      <c r="N20" s="1278"/>
      <c r="O20" s="1283" t="s">
        <v>406</v>
      </c>
      <c r="P20" s="1278"/>
      <c r="Q20" s="1287"/>
      <c r="R20" s="1287"/>
      <c r="S20" s="648"/>
      <c r="Z20" s="1283"/>
      <c r="AB20" s="1283"/>
      <c r="AC20" s="1282"/>
      <c r="AH20" s="1283"/>
      <c r="AJ20" s="1283"/>
      <c r="AK20" s="1282"/>
      <c r="AN20" s="437"/>
      <c r="AO20" s="437"/>
      <c r="AP20" s="437"/>
      <c r="AQ20" s="437"/>
      <c r="AR20" s="437"/>
    </row>
    <row r="21" spans="1:44" s="1931" customFormat="1" ht="14.25" hidden="1" customHeight="1">
      <c r="L21" s="1246"/>
      <c r="M21" s="1278"/>
      <c r="N21" s="1278"/>
      <c r="O21" s="1278"/>
      <c r="P21" s="1278"/>
      <c r="Q21" s="1287"/>
      <c r="R21" s="1287"/>
      <c r="S21" s="648"/>
      <c r="AC21" s="1282"/>
      <c r="AK21" s="1282"/>
      <c r="AN21" s="437"/>
      <c r="AO21" s="437"/>
      <c r="AP21" s="437"/>
      <c r="AQ21" s="437"/>
      <c r="AR21" s="437"/>
    </row>
    <row r="22" spans="1:44" s="1931" customFormat="1" ht="33.75" hidden="1" customHeight="1">
      <c r="L22" s="1246"/>
      <c r="M22" s="1278"/>
      <c r="N22" s="1278"/>
      <c r="O22" s="1280" t="s">
        <v>407</v>
      </c>
      <c r="P22" s="1278"/>
      <c r="Q22" s="1287"/>
      <c r="R22" s="1287"/>
      <c r="S22" s="648"/>
      <c r="T22" s="1060" t="s">
        <v>408</v>
      </c>
      <c r="AA22" s="107" t="s">
        <v>409</v>
      </c>
      <c r="AC22" s="107" t="s">
        <v>410</v>
      </c>
      <c r="AD22" s="1060" t="s">
        <v>408</v>
      </c>
      <c r="AI22" s="107" t="s">
        <v>411</v>
      </c>
      <c r="AK22" s="107" t="s">
        <v>410</v>
      </c>
      <c r="AN22" s="437"/>
      <c r="AO22" s="437"/>
      <c r="AP22" s="437"/>
      <c r="AQ22" s="437"/>
      <c r="AR22" s="437"/>
    </row>
    <row r="23" spans="1:44" ht="14.25" hidden="1" customHeight="1">
      <c r="O23" s="1280"/>
    </row>
    <row r="24" spans="1:44" ht="14.25" hidden="1" customHeight="1">
      <c r="O24" s="1280"/>
    </row>
    <row r="25" spans="1:44" ht="14.25" customHeight="1">
      <c r="Q25" s="305"/>
      <c r="R25" s="305"/>
      <c r="S25" s="1195"/>
      <c r="T25" s="290"/>
      <c r="U25" s="290"/>
      <c r="V25" s="435"/>
      <c r="W25" s="435"/>
      <c r="X25" s="435"/>
      <c r="Y25" s="435"/>
      <c r="Z25" s="435"/>
      <c r="AA25" s="435"/>
      <c r="AB25" s="435"/>
      <c r="AC25" s="435"/>
      <c r="AD25" s="435"/>
      <c r="AE25" s="435"/>
      <c r="AF25" s="435"/>
      <c r="AG25" s="435"/>
      <c r="AH25" s="435"/>
      <c r="AI25" s="435"/>
      <c r="AJ25" s="435"/>
      <c r="AK25" s="435"/>
    </row>
    <row r="26" spans="1:44" ht="27.75" customHeight="1">
      <c r="Q26" s="305"/>
      <c r="R26" s="305"/>
      <c r="S26" s="225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4"/>
      <c r="U26" s="2254"/>
      <c r="V26" s="2254"/>
      <c r="W26" s="2254"/>
      <c r="X26" s="2254"/>
      <c r="Y26" s="2254"/>
      <c r="Z26" s="2254"/>
      <c r="AA26" s="2254"/>
      <c r="AB26" s="2254"/>
      <c r="AC26" s="2254"/>
      <c r="AD26" s="2254"/>
      <c r="AE26" s="2254"/>
      <c r="AF26" s="2254"/>
      <c r="AG26" s="2254"/>
      <c r="AH26" s="2254"/>
      <c r="AI26" s="2254"/>
      <c r="AJ26" s="2254"/>
      <c r="AK26" s="1152"/>
    </row>
    <row r="27" spans="1:44" ht="14.25" customHeight="1">
      <c r="Q27" s="305"/>
      <c r="R27" s="305"/>
      <c r="S27" s="2200" t="str">
        <f>IF(org=0,"Не определено",org)</f>
        <v>ПАО "Юнипро"</v>
      </c>
      <c r="T27" s="2200"/>
      <c r="U27" s="2200"/>
      <c r="V27" s="2200"/>
      <c r="W27" s="2200"/>
      <c r="X27" s="2200"/>
      <c r="Y27" s="2200"/>
      <c r="Z27" s="2200"/>
      <c r="AA27" s="2200"/>
      <c r="AB27" s="2200"/>
      <c r="AC27" s="2200"/>
      <c r="AD27" s="2200"/>
      <c r="AE27" s="2200"/>
      <c r="AF27" s="2200"/>
      <c r="AG27" s="2200"/>
      <c r="AH27" s="2200"/>
      <c r="AI27" s="2200"/>
      <c r="AJ27" s="2200"/>
      <c r="AK27" s="1152"/>
    </row>
    <row r="28" spans="1:44" ht="14.25" customHeight="1">
      <c r="Q28" s="305"/>
      <c r="R28" s="305"/>
      <c r="S28" s="1195"/>
      <c r="T28" s="290"/>
      <c r="U28" s="290"/>
      <c r="V28" s="246"/>
      <c r="W28" s="246"/>
      <c r="X28" s="246"/>
      <c r="Y28" s="246"/>
      <c r="Z28" s="246"/>
      <c r="AA28" s="246"/>
      <c r="AB28" s="246"/>
      <c r="AC28" s="246"/>
      <c r="AD28" s="246"/>
      <c r="AE28" s="246"/>
      <c r="AF28" s="246"/>
      <c r="AG28" s="246"/>
      <c r="AH28" s="246"/>
      <c r="AI28" s="246"/>
      <c r="AJ28" s="246"/>
      <c r="AK28" s="246"/>
      <c r="AL28" s="435"/>
    </row>
    <row r="29" spans="1:44" s="1936" customFormat="1" ht="25.5" customHeight="1">
      <c r="A29" s="1284"/>
      <c r="B29" s="1284"/>
      <c r="C29" s="1284"/>
      <c r="D29" s="1284"/>
      <c r="E29" s="1284"/>
      <c r="F29" s="1284"/>
      <c r="G29" s="1284"/>
      <c r="H29" s="1284"/>
      <c r="I29" s="1284"/>
      <c r="J29" s="1284"/>
      <c r="K29" s="1284"/>
      <c r="L29" s="1285"/>
      <c r="M29" s="1284"/>
      <c r="N29" s="1284"/>
      <c r="O29" s="1284"/>
      <c r="S29" s="2262" t="s">
        <v>38</v>
      </c>
      <c r="T29" s="2262"/>
      <c r="U29" s="1288"/>
      <c r="V29" s="2263" t="str">
        <f>IF(TITLE_NAME_OR_PR_CHANGE="",IF(TITLE_NAME_OR_PR="","",TITLE_NAME_OR_PR),TITLE_NAME_OR_PR_CHANGE)</f>
        <v>Министерство тарифной политики Красноярского края</v>
      </c>
      <c r="W29" s="2263"/>
      <c r="X29" s="2263"/>
      <c r="Y29" s="2263"/>
      <c r="Z29" s="2263"/>
      <c r="AA29" s="2263"/>
      <c r="AB29" s="2263"/>
      <c r="AC29" s="252"/>
      <c r="AD29" s="2263" t="str">
        <f>IF(TITLE_NAME_OR_PR_CHANGE="",IF(TITLE_NAME_OR_PR="","",TITLE_NAME_OR_PR),TITLE_NAME_OR_PR_CHANGE)</f>
        <v>Министерство тарифной политики Красноярского края</v>
      </c>
      <c r="AE29" s="2263"/>
      <c r="AF29" s="2263"/>
      <c r="AG29" s="2263"/>
      <c r="AH29" s="2263"/>
      <c r="AI29" s="2263"/>
      <c r="AJ29" s="2263"/>
      <c r="AK29" s="252"/>
      <c r="AL29" s="252"/>
      <c r="AM29" s="199"/>
      <c r="AN29" s="296"/>
      <c r="AO29" s="296"/>
      <c r="AP29" s="296"/>
      <c r="AQ29" s="296"/>
      <c r="AR29" s="296"/>
    </row>
    <row r="30" spans="1:44" s="1936" customFormat="1" ht="18.75" customHeight="1">
      <c r="A30" s="1284"/>
      <c r="B30" s="1284"/>
      <c r="C30" s="1284"/>
      <c r="D30" s="1284"/>
      <c r="E30" s="1284"/>
      <c r="F30" s="1284"/>
      <c r="G30" s="1284"/>
      <c r="H30" s="1284"/>
      <c r="I30" s="1284"/>
      <c r="J30" s="1284"/>
      <c r="K30" s="1284"/>
      <c r="L30" s="1285"/>
      <c r="M30" s="1284"/>
      <c r="N30" s="1284"/>
      <c r="O30" s="1284"/>
      <c r="S30" s="2262" t="s">
        <v>412</v>
      </c>
      <c r="T30" s="2262"/>
      <c r="U30" s="1288"/>
      <c r="V30" s="2272">
        <f>IF(TITLE_DATE_PR_CHANGE="",IF(TITLE_DATE_PR="","",TITLE_DATE_PR),TITLE_DATE_PR_CHANGE)</f>
        <v>45278.357847222222</v>
      </c>
      <c r="W30" s="2272"/>
      <c r="X30" s="2272"/>
      <c r="Y30" s="2272"/>
      <c r="Z30" s="2272"/>
      <c r="AA30" s="2272"/>
      <c r="AB30" s="2272"/>
      <c r="AC30" s="252"/>
      <c r="AD30" s="2272">
        <f>IF(TITLE_DATE_PR_CHANGE="",IF(TITLE_DATE_PR="","",TITLE_DATE_PR),TITLE_DATE_PR_CHANGE)</f>
        <v>45278.357847222222</v>
      </c>
      <c r="AE30" s="2272"/>
      <c r="AF30" s="2272"/>
      <c r="AG30" s="2272"/>
      <c r="AH30" s="2272"/>
      <c r="AI30" s="2272"/>
      <c r="AJ30" s="2272"/>
      <c r="AK30" s="252"/>
      <c r="AL30" s="252"/>
      <c r="AM30" s="199"/>
      <c r="AN30" s="296"/>
      <c r="AO30" s="296"/>
      <c r="AP30" s="296"/>
      <c r="AQ30" s="296"/>
      <c r="AR30" s="296"/>
    </row>
    <row r="31" spans="1:44" s="1936" customFormat="1" ht="18.75" customHeight="1">
      <c r="A31" s="1284"/>
      <c r="B31" s="1284"/>
      <c r="C31" s="1284"/>
      <c r="D31" s="1284"/>
      <c r="E31" s="1284"/>
      <c r="F31" s="1284"/>
      <c r="G31" s="1284"/>
      <c r="H31" s="1284"/>
      <c r="I31" s="1284"/>
      <c r="J31" s="1284"/>
      <c r="K31" s="1284"/>
      <c r="L31" s="1285"/>
      <c r="M31" s="1284"/>
      <c r="N31" s="1284"/>
      <c r="O31" s="1284"/>
      <c r="S31" s="2262" t="s">
        <v>413</v>
      </c>
      <c r="T31" s="2262"/>
      <c r="U31" s="1288"/>
      <c r="V31" s="2263" t="str">
        <f>IF(TITLE_NUMBER_PR_CHANGE="",IF(TITLE_NUMBER_PR="","",TITLE_NUMBER_PR),TITLE_NUMBER_PR_CHANGE)</f>
        <v>924-в</v>
      </c>
      <c r="W31" s="2263"/>
      <c r="X31" s="2263"/>
      <c r="Y31" s="2263"/>
      <c r="Z31" s="2263"/>
      <c r="AA31" s="2263"/>
      <c r="AB31" s="2263"/>
      <c r="AC31" s="252"/>
      <c r="AD31" s="2263" t="str">
        <f>IF(TITLE_NUMBER_PR_CHANGE="",IF(TITLE_NUMBER_PR="","",TITLE_NUMBER_PR),TITLE_NUMBER_PR_CHANGE)</f>
        <v>924-в</v>
      </c>
      <c r="AE31" s="2263"/>
      <c r="AF31" s="2263"/>
      <c r="AG31" s="2263"/>
      <c r="AH31" s="2263"/>
      <c r="AI31" s="2263"/>
      <c r="AJ31" s="2263"/>
      <c r="AK31" s="252"/>
      <c r="AL31" s="252"/>
      <c r="AM31" s="199"/>
      <c r="AN31" s="296"/>
      <c r="AO31" s="296"/>
      <c r="AP31" s="296"/>
      <c r="AQ31" s="296"/>
      <c r="AR31" s="296"/>
    </row>
    <row r="32" spans="1:44" s="1936" customFormat="1" ht="18.75" customHeight="1">
      <c r="A32" s="1284"/>
      <c r="B32" s="1284"/>
      <c r="C32" s="1284"/>
      <c r="D32" s="1284"/>
      <c r="E32" s="1284"/>
      <c r="F32" s="1284"/>
      <c r="G32" s="1284"/>
      <c r="H32" s="1284"/>
      <c r="I32" s="1284"/>
      <c r="J32" s="1284"/>
      <c r="K32" s="1284"/>
      <c r="L32" s="1285"/>
      <c r="M32" s="1284"/>
      <c r="N32" s="1284"/>
      <c r="O32" s="1284"/>
      <c r="S32" s="2262" t="s">
        <v>40</v>
      </c>
      <c r="T32" s="2262"/>
      <c r="U32" s="1288"/>
      <c r="V32" s="2263" t="str">
        <f>IF(TITLE_IST_PUB_CHANGE="",IF(TITLE_IST_PUB="","",TITLE_IST_PUB),TITLE_IST_PUB_CHANGE)</f>
        <v>Официальный интернет-портал правовой информации Красноярского края (http://www.zakon.krskstate.ru/)</v>
      </c>
      <c r="W32" s="2263"/>
      <c r="X32" s="2263"/>
      <c r="Y32" s="2263"/>
      <c r="Z32" s="2263"/>
      <c r="AA32" s="2263"/>
      <c r="AB32" s="2263"/>
      <c r="AC32" s="252"/>
      <c r="AD32" s="2263" t="str">
        <f>IF(TITLE_IST_PUB_CHANGE="",IF(TITLE_IST_PUB="","",TITLE_IST_PUB),TITLE_IST_PUB_CHANGE)</f>
        <v>Официальный интернет-портал правовой информации Красноярского края (http://www.zakon.krskstate.ru/)</v>
      </c>
      <c r="AE32" s="2263"/>
      <c r="AF32" s="2263"/>
      <c r="AG32" s="2263"/>
      <c r="AH32" s="2263"/>
      <c r="AI32" s="2263"/>
      <c r="AJ32" s="2263"/>
      <c r="AK32" s="252"/>
      <c r="AL32" s="252"/>
      <c r="AM32" s="199"/>
      <c r="AN32" s="296"/>
      <c r="AO32" s="296"/>
      <c r="AP32" s="296"/>
      <c r="AQ32" s="296"/>
      <c r="AR32" s="296"/>
    </row>
    <row r="33" spans="1:44" ht="14.25" hidden="1" customHeight="1">
      <c r="Q33" s="305"/>
      <c r="R33" s="305"/>
      <c r="S33" s="1195"/>
      <c r="T33" s="290"/>
      <c r="U33" s="290"/>
      <c r="V33" s="246"/>
      <c r="W33" s="246"/>
      <c r="X33" s="246"/>
      <c r="Y33" s="246"/>
      <c r="Z33" s="246"/>
      <c r="AA33" s="246"/>
      <c r="AB33" s="246"/>
      <c r="AC33" s="246"/>
      <c r="AD33" s="246"/>
      <c r="AE33" s="246"/>
      <c r="AF33" s="246"/>
      <c r="AG33" s="246"/>
      <c r="AH33" s="246"/>
      <c r="AI33" s="246"/>
      <c r="AJ33" s="246"/>
      <c r="AK33" s="246"/>
      <c r="AL33" s="435"/>
    </row>
    <row r="34" spans="1:44" s="1936" customFormat="1" ht="18.75" hidden="1" customHeight="1">
      <c r="A34" s="1284"/>
      <c r="B34" s="1284"/>
      <c r="C34" s="1284"/>
      <c r="D34" s="1284"/>
      <c r="E34" s="1284"/>
      <c r="F34" s="1284"/>
      <c r="G34" s="1284"/>
      <c r="H34" s="1284"/>
      <c r="I34" s="1284"/>
      <c r="J34" s="1284"/>
      <c r="K34" s="1284"/>
      <c r="L34" s="1285"/>
      <c r="M34" s="1284"/>
      <c r="N34" s="1284"/>
      <c r="O34" s="1284"/>
      <c r="S34" s="2262" t="s">
        <v>414</v>
      </c>
      <c r="T34" s="2262"/>
      <c r="U34" s="1288"/>
      <c r="V34" s="2272">
        <f>IF(TITLE_DATE_PR_CHANGE="",IF(TITLE_DATE_PR="","",TITLE_DATE_PR),TITLE_DATE_PR_CHANGE)</f>
        <v>45278.357847222222</v>
      </c>
      <c r="W34" s="2272"/>
      <c r="X34" s="2272"/>
      <c r="Y34" s="2272"/>
      <c r="Z34" s="2272"/>
      <c r="AA34" s="2272"/>
      <c r="AB34" s="2272"/>
      <c r="AC34" s="252"/>
      <c r="AD34" s="2272">
        <f>IF(TITLE_DATE_PR_CHANGE="",IF(TITLE_DATE_PR="","",TITLE_DATE_PR),TITLE_DATE_PR_CHANGE)</f>
        <v>45278.357847222222</v>
      </c>
      <c r="AE34" s="2272"/>
      <c r="AF34" s="2272"/>
      <c r="AG34" s="2272"/>
      <c r="AH34" s="2272"/>
      <c r="AI34" s="2272"/>
      <c r="AJ34" s="2272"/>
      <c r="AK34" s="252"/>
      <c r="AL34" s="252"/>
      <c r="AM34" s="199"/>
      <c r="AN34" s="296"/>
      <c r="AO34" s="296"/>
      <c r="AP34" s="296"/>
      <c r="AQ34" s="296"/>
      <c r="AR34" s="296"/>
    </row>
    <row r="35" spans="1:44" s="1936" customFormat="1" ht="18.75" hidden="1" customHeight="1">
      <c r="A35" s="1284"/>
      <c r="B35" s="1284"/>
      <c r="C35" s="1284"/>
      <c r="D35" s="1284"/>
      <c r="E35" s="1284"/>
      <c r="F35" s="1284"/>
      <c r="G35" s="1284"/>
      <c r="H35" s="1284"/>
      <c r="I35" s="1284"/>
      <c r="J35" s="1284"/>
      <c r="K35" s="1284"/>
      <c r="L35" s="1285"/>
      <c r="M35" s="1284"/>
      <c r="N35" s="1284"/>
      <c r="O35" s="1284"/>
      <c r="S35" s="2262" t="s">
        <v>415</v>
      </c>
      <c r="T35" s="2262"/>
      <c r="U35" s="1288"/>
      <c r="V35" s="2263" t="str">
        <f>IF(TITLE_NUMBER_PR_CHANGE="",IF(TITLE_NUMBER_PR="","",TITLE_NUMBER_PR),TITLE_NUMBER_PR_CHANGE)</f>
        <v>924-в</v>
      </c>
      <c r="W35" s="2263"/>
      <c r="X35" s="2263"/>
      <c r="Y35" s="2263"/>
      <c r="Z35" s="2263"/>
      <c r="AA35" s="2263"/>
      <c r="AB35" s="2263"/>
      <c r="AC35" s="252"/>
      <c r="AD35" s="2263" t="str">
        <f>IF(TITLE_NUMBER_PR_CHANGE="",IF(TITLE_NUMBER_PR="","",TITLE_NUMBER_PR),TITLE_NUMBER_PR_CHANGE)</f>
        <v>924-в</v>
      </c>
      <c r="AE35" s="2263"/>
      <c r="AF35" s="2263"/>
      <c r="AG35" s="2263"/>
      <c r="AH35" s="2263"/>
      <c r="AI35" s="2263"/>
      <c r="AJ35" s="2263"/>
      <c r="AK35" s="252"/>
      <c r="AL35" s="252"/>
      <c r="AM35" s="199"/>
      <c r="AN35" s="296"/>
      <c r="AO35" s="296"/>
      <c r="AP35" s="296"/>
      <c r="AQ35" s="296"/>
      <c r="AR35" s="296"/>
    </row>
    <row r="36" spans="1:44" s="1936" customFormat="1" ht="0" hidden="1" customHeight="1">
      <c r="A36" s="1284"/>
      <c r="B36" s="1284"/>
      <c r="C36" s="1284"/>
      <c r="D36" s="1284"/>
      <c r="E36" s="1284"/>
      <c r="F36" s="1284"/>
      <c r="G36" s="1284"/>
      <c r="H36" s="1284"/>
      <c r="I36" s="1284"/>
      <c r="J36" s="1284"/>
      <c r="K36" s="1284"/>
      <c r="L36" s="1285"/>
      <c r="M36" s="1284"/>
      <c r="N36" s="1284"/>
      <c r="O36" s="1284"/>
      <c r="S36" s="248"/>
      <c r="T36" s="248"/>
      <c r="U36" s="1257"/>
      <c r="V36" s="252"/>
      <c r="W36" s="252"/>
      <c r="X36" s="252"/>
      <c r="Y36" s="252"/>
      <c r="Z36" s="252"/>
      <c r="AA36" s="252"/>
      <c r="AB36" s="252"/>
      <c r="AC36" s="197" t="s">
        <v>416</v>
      </c>
      <c r="AD36" s="252"/>
      <c r="AE36" s="252"/>
      <c r="AF36" s="252"/>
      <c r="AG36" s="252"/>
      <c r="AH36" s="252"/>
      <c r="AI36" s="252"/>
      <c r="AJ36" s="252"/>
      <c r="AK36" s="197" t="s">
        <v>416</v>
      </c>
      <c r="AN36" s="296"/>
      <c r="AO36" s="296"/>
      <c r="AP36" s="296"/>
      <c r="AQ36" s="296"/>
      <c r="AR36" s="296"/>
    </row>
    <row r="37" spans="1:44" ht="14.25" customHeight="1">
      <c r="Q37" s="305"/>
      <c r="R37" s="305"/>
      <c r="S37" s="1195"/>
      <c r="T37" s="290"/>
      <c r="U37" s="1153"/>
      <c r="V37" s="2264"/>
      <c r="W37" s="2264"/>
      <c r="X37" s="2264"/>
      <c r="Y37" s="2264"/>
      <c r="Z37" s="2264"/>
      <c r="AA37" s="2264"/>
      <c r="AB37" s="2264"/>
      <c r="AC37" s="2264"/>
      <c r="AD37" s="2264"/>
      <c r="AE37" s="2264"/>
      <c r="AF37" s="2264"/>
      <c r="AG37" s="2264"/>
      <c r="AH37" s="2264"/>
      <c r="AI37" s="2264"/>
      <c r="AJ37" s="2264"/>
      <c r="AK37" s="2264"/>
    </row>
    <row r="38" spans="1:44" ht="14.25" customHeight="1">
      <c r="Q38" s="305"/>
      <c r="R38" s="305"/>
      <c r="S38" s="2143" t="s">
        <v>289</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290</v>
      </c>
    </row>
    <row r="39" spans="1:44" ht="14.25" customHeight="1">
      <c r="Q39" s="305"/>
      <c r="R39" s="305"/>
      <c r="S39" s="2278" t="s">
        <v>87</v>
      </c>
      <c r="T39" s="2229" t="s">
        <v>417</v>
      </c>
      <c r="U39" s="219"/>
      <c r="V39" s="2279" t="s">
        <v>418</v>
      </c>
      <c r="W39" s="2280"/>
      <c r="X39" s="2294"/>
      <c r="Y39" s="2294"/>
      <c r="Z39" s="2280"/>
      <c r="AA39" s="2280"/>
      <c r="AB39" s="2281"/>
      <c r="AC39" s="2282" t="s">
        <v>419</v>
      </c>
      <c r="AD39" s="2279" t="s">
        <v>418</v>
      </c>
      <c r="AE39" s="2280"/>
      <c r="AF39" s="2294"/>
      <c r="AG39" s="2294"/>
      <c r="AH39" s="2280"/>
      <c r="AI39" s="2280"/>
      <c r="AJ39" s="2281"/>
      <c r="AK39" s="2282" t="s">
        <v>420</v>
      </c>
      <c r="AL39" s="2285" t="s">
        <v>421</v>
      </c>
      <c r="AM39" s="2143"/>
    </row>
    <row r="40" spans="1:44" ht="23.25" customHeight="1">
      <c r="Q40" s="305"/>
      <c r="R40" s="305"/>
      <c r="S40" s="2278"/>
      <c r="T40" s="2229"/>
      <c r="U40" s="938"/>
      <c r="V40" s="2295" t="s">
        <v>422</v>
      </c>
      <c r="W40" s="2214" t="s">
        <v>423</v>
      </c>
      <c r="X40" s="1292" t="s">
        <v>424</v>
      </c>
      <c r="Y40" s="1292"/>
      <c r="Z40" s="2120" t="s">
        <v>425</v>
      </c>
      <c r="AA40" s="2120"/>
      <c r="AB40" s="2114"/>
      <c r="AC40" s="2283"/>
      <c r="AD40" s="2295" t="s">
        <v>422</v>
      </c>
      <c r="AE40" s="2214" t="s">
        <v>423</v>
      </c>
      <c r="AF40" s="1292" t="s">
        <v>424</v>
      </c>
      <c r="AG40" s="1292"/>
      <c r="AH40" s="2120" t="s">
        <v>425</v>
      </c>
      <c r="AI40" s="2120"/>
      <c r="AJ40" s="2114"/>
      <c r="AK40" s="2283"/>
      <c r="AL40" s="2286"/>
      <c r="AM40" s="2143"/>
    </row>
    <row r="41" spans="1:44" s="1941" customFormat="1" ht="23.25" customHeight="1">
      <c r="A41" s="1286"/>
      <c r="B41" s="1286" t="s">
        <v>134</v>
      </c>
      <c r="C41" s="1286" t="s">
        <v>135</v>
      </c>
      <c r="D41" s="1286" t="s">
        <v>136</v>
      </c>
      <c r="E41" s="1280" t="s">
        <v>426</v>
      </c>
      <c r="F41" s="1280" t="s">
        <v>427</v>
      </c>
      <c r="G41" s="1280" t="s">
        <v>428</v>
      </c>
      <c r="H41" s="1280" t="s">
        <v>429</v>
      </c>
      <c r="I41" s="1280" t="s">
        <v>430</v>
      </c>
      <c r="J41" s="1280" t="s">
        <v>431</v>
      </c>
      <c r="K41" s="1280" t="s">
        <v>432</v>
      </c>
      <c r="L41" s="1280" t="s">
        <v>407</v>
      </c>
      <c r="M41" s="1278"/>
      <c r="N41" s="1278"/>
      <c r="O41" s="1278"/>
      <c r="P41" s="1245"/>
      <c r="Q41" s="305"/>
      <c r="R41" s="305"/>
      <c r="S41" s="2278"/>
      <c r="T41" s="2229"/>
      <c r="U41" s="220"/>
      <c r="V41" s="2296"/>
      <c r="W41" s="2219"/>
      <c r="X41" s="1289" t="s">
        <v>433</v>
      </c>
      <c r="Y41" s="1289" t="s">
        <v>434</v>
      </c>
      <c r="Z41" s="1251" t="s">
        <v>435</v>
      </c>
      <c r="AA41" s="2238" t="s">
        <v>436</v>
      </c>
      <c r="AB41" s="2240"/>
      <c r="AC41" s="2284"/>
      <c r="AD41" s="2296"/>
      <c r="AE41" s="2219"/>
      <c r="AF41" s="1289" t="s">
        <v>433</v>
      </c>
      <c r="AG41" s="1289" t="s">
        <v>434</v>
      </c>
      <c r="AH41" s="1251" t="s">
        <v>435</v>
      </c>
      <c r="AI41" s="2238" t="s">
        <v>436</v>
      </c>
      <c r="AJ41" s="2240"/>
      <c r="AK41" s="2284"/>
      <c r="AL41" s="2287"/>
      <c r="AM41" s="2143"/>
      <c r="AN41" s="437"/>
      <c r="AO41" s="426"/>
      <c r="AP41" s="426"/>
      <c r="AQ41" s="426"/>
      <c r="AR41" s="426"/>
    </row>
    <row r="42" spans="1:44" s="1819" customFormat="1" ht="11.25" hidden="1" customHeight="1">
      <c r="A42" s="1286"/>
      <c r="B42" s="1286"/>
      <c r="C42" s="1286"/>
      <c r="D42" s="1286"/>
      <c r="E42" s="1286"/>
      <c r="F42" s="1286"/>
      <c r="G42" s="1286"/>
      <c r="H42" s="1286"/>
      <c r="I42" s="1286"/>
      <c r="J42" s="1286"/>
      <c r="K42" s="1286"/>
      <c r="L42" s="1280"/>
      <c r="M42" s="1278"/>
      <c r="N42" s="1278"/>
      <c r="O42" s="1278"/>
      <c r="P42" s="1155"/>
      <c r="Q42" s="1156"/>
      <c r="R42" s="1171">
        <v>1</v>
      </c>
      <c r="S42" s="1197" t="s">
        <v>108</v>
      </c>
      <c r="T42" s="1172" t="s">
        <v>109</v>
      </c>
      <c r="U42" s="1154" t="str">
        <f ca="1">OFFSET(U42,0,-1)</f>
        <v>2</v>
      </c>
      <c r="V42" s="1252">
        <f ca="1">OFFSET(V42,0,-1)+1</f>
        <v>3</v>
      </c>
      <c r="W42" s="1252"/>
      <c r="X42" s="1258">
        <f ca="1">OFFSET(X42,0,-1)+1</f>
        <v>1</v>
      </c>
      <c r="Y42" s="1258">
        <f ca="1">OFFSET(Y42,0,-1)+1</f>
        <v>2</v>
      </c>
      <c r="Z42" s="1252">
        <f ca="1">OFFSET(Z42,0,-1)+1</f>
        <v>3</v>
      </c>
      <c r="AA42" s="2277">
        <f ca="1">OFFSET(AA42,0,-1)+1</f>
        <v>4</v>
      </c>
      <c r="AB42" s="2277"/>
      <c r="AC42" s="1252">
        <f ca="1">OFFSET(AC42,0,-2)+1</f>
        <v>5</v>
      </c>
      <c r="AD42" s="1252">
        <f ca="1">OFFSET(AD42,0,-1)+1</f>
        <v>6</v>
      </c>
      <c r="AE42" s="1252"/>
      <c r="AF42" s="1258">
        <f ca="1">OFFSET(AF42,0,-1)+1</f>
        <v>1</v>
      </c>
      <c r="AG42" s="1258">
        <f ca="1">OFFSET(AG42,0,-1)+1</f>
        <v>2</v>
      </c>
      <c r="AH42" s="1252">
        <f ca="1">OFFSET(AH42,0,-1)+1</f>
        <v>3</v>
      </c>
      <c r="AI42" s="2277">
        <f ca="1">OFFSET(AI42,0,-1)+1</f>
        <v>4</v>
      </c>
      <c r="AJ42" s="2277"/>
      <c r="AK42" s="1252">
        <f ca="1">OFFSET(AK42,0,-2)+1</f>
        <v>5</v>
      </c>
      <c r="AL42" s="1154">
        <f ca="1">OFFSET(AL42,0,-1)</f>
        <v>5</v>
      </c>
      <c r="AM42" s="1252">
        <f ca="1">OFFSET(AM42,0,-1)+1</f>
        <v>6</v>
      </c>
      <c r="AN42" s="437"/>
      <c r="AO42" s="437"/>
      <c r="AP42" s="437"/>
      <c r="AQ42" s="437"/>
      <c r="AR42" s="437"/>
    </row>
    <row r="43" spans="1:44" ht="21" customHeight="1">
      <c r="A43" s="1279" t="s">
        <v>191</v>
      </c>
      <c r="B43" s="1279"/>
      <c r="C43" s="1279"/>
      <c r="D43" s="1279"/>
      <c r="E43" s="2270">
        <v>1</v>
      </c>
      <c r="F43" s="1279"/>
      <c r="G43" s="1279"/>
      <c r="H43" s="1279"/>
      <c r="I43" s="1279"/>
      <c r="J43" s="1279"/>
      <c r="K43" s="1279"/>
      <c r="L43" s="1280"/>
      <c r="M43" s="1281"/>
      <c r="N43" s="1281"/>
      <c r="O43" s="1281"/>
      <c r="P43" s="286"/>
      <c r="Q43" s="285"/>
      <c r="R43" s="280"/>
      <c r="S43" s="1253">
        <f>INDEX(PT_DIFFERENTIATION_NUM_NTAR,MATCH(A43,PT_DIFFERENTIATION_NTAR_ID,0))</f>
        <v>0</v>
      </c>
      <c r="T43" s="216" t="s">
        <v>122</v>
      </c>
      <c r="U43" s="218"/>
      <c r="V43" s="2256"/>
      <c r="W43" s="2257"/>
      <c r="X43" s="2257"/>
      <c r="Y43" s="2257"/>
      <c r="Z43" s="2257"/>
      <c r="AA43" s="2257"/>
      <c r="AB43" s="2257"/>
      <c r="AC43" s="2258"/>
      <c r="AD43" s="2256" t="str">
        <f>INDEX(PT_DIFFERENTIATION_NTAR,MATCH(A43,PT_DIFFERENTIATION_NTAR_ID,0))</f>
        <v/>
      </c>
      <c r="AE43" s="2257"/>
      <c r="AF43" s="2257"/>
      <c r="AG43" s="2257"/>
      <c r="AH43" s="2257"/>
      <c r="AI43" s="2257"/>
      <c r="AJ43" s="2257"/>
      <c r="AK43" s="2257"/>
      <c r="AL43" s="2258"/>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6"/>
      <c r="AP43" s="426" t="str">
        <f t="shared" ref="AP43:AP57" si="1">IF(T43="","",T43)</f>
        <v>Наименование тарифа</v>
      </c>
      <c r="AQ43" s="426"/>
      <c r="AR43" s="426"/>
    </row>
    <row r="44" spans="1:44" ht="21" customHeight="1">
      <c r="A44" s="1279" t="s">
        <v>191</v>
      </c>
      <c r="B44" s="1279" t="s">
        <v>192</v>
      </c>
      <c r="C44" s="1279"/>
      <c r="D44" s="1279"/>
      <c r="E44" s="2271"/>
      <c r="F44" s="2270">
        <v>1</v>
      </c>
      <c r="G44" s="1279"/>
      <c r="H44" s="1279"/>
      <c r="I44" s="1279"/>
      <c r="J44" s="1279"/>
      <c r="K44" s="1279"/>
      <c r="L44" s="1280"/>
      <c r="M44" s="1281"/>
      <c r="N44" s="1281"/>
      <c r="O44" s="1281"/>
      <c r="P44" s="1249"/>
      <c r="Q44" s="277"/>
      <c r="R44" s="278"/>
      <c r="S44" s="1253" t="str">
        <f>INDEX(PT_DIFFERENTIATION_NUM_TER,MATCH(B44,PT_DIFFERENTIATION_TER_ID,0))</f>
        <v>.</v>
      </c>
      <c r="T44" s="228" t="s">
        <v>388</v>
      </c>
      <c r="U44" s="218"/>
      <c r="V44" s="2256"/>
      <c r="W44" s="2257"/>
      <c r="X44" s="2257"/>
      <c r="Y44" s="2257"/>
      <c r="Z44" s="2257"/>
      <c r="AA44" s="2257"/>
      <c r="AB44" s="2257"/>
      <c r="AC44" s="2258"/>
      <c r="AD44" s="2256" t="str">
        <f>INDEX(PT_DIFFERENTIATION_TER,MATCH(B44,PT_DIFFERENTIATION_TER_ID,0))</f>
        <v/>
      </c>
      <c r="AE44" s="2257"/>
      <c r="AF44" s="2257"/>
      <c r="AG44" s="2257"/>
      <c r="AH44" s="2257"/>
      <c r="AI44" s="2257"/>
      <c r="AJ44" s="2257"/>
      <c r="AK44" s="2257"/>
      <c r="AL44" s="2258"/>
      <c r="AM44" s="1177" t="s">
        <v>389</v>
      </c>
      <c r="AO44" s="426"/>
      <c r="AP44" s="426" t="str">
        <f t="shared" si="1"/>
        <v>Территория действия тарифа</v>
      </c>
      <c r="AQ44" s="426"/>
      <c r="AR44" s="426"/>
    </row>
    <row r="45" spans="1:44" ht="23.25" customHeight="1">
      <c r="A45" s="1279" t="s">
        <v>191</v>
      </c>
      <c r="B45" s="1279" t="s">
        <v>192</v>
      </c>
      <c r="C45" s="1279" t="s">
        <v>193</v>
      </c>
      <c r="D45" s="1279"/>
      <c r="E45" s="2271"/>
      <c r="F45" s="2271"/>
      <c r="G45" s="2270">
        <v>1</v>
      </c>
      <c r="H45" s="1279"/>
      <c r="I45" s="1279"/>
      <c r="J45" s="1279"/>
      <c r="K45" s="1279"/>
      <c r="L45" s="1280"/>
      <c r="M45" s="1281"/>
      <c r="N45" s="1281"/>
      <c r="O45" s="1281"/>
      <c r="P45" s="279"/>
      <c r="Q45" s="277"/>
      <c r="R45" s="278"/>
      <c r="S45" s="1253" t="str">
        <f>INDEX(PT_DIFFERENTIATION_NUM_CS,MATCH(C45,PT_DIFFERENTIATION_CS_ID,0))</f>
        <v>..</v>
      </c>
      <c r="T45" s="229" t="s">
        <v>390</v>
      </c>
      <c r="U45" s="218"/>
      <c r="V45" s="2256"/>
      <c r="W45" s="2257"/>
      <c r="X45" s="2257"/>
      <c r="Y45" s="2257"/>
      <c r="Z45" s="2257"/>
      <c r="AA45" s="2257"/>
      <c r="AB45" s="2257"/>
      <c r="AC45" s="2258"/>
      <c r="AD45" s="2256" t="str">
        <f>INDEX(PT_DIFFERENTIATION_CS,MATCH(C45,PT_DIFFERENTIATION_CS_ID,0))</f>
        <v/>
      </c>
      <c r="AE45" s="2257"/>
      <c r="AF45" s="2257"/>
      <c r="AG45" s="2257"/>
      <c r="AH45" s="2257"/>
      <c r="AI45" s="2257"/>
      <c r="AJ45" s="2257"/>
      <c r="AK45" s="2257"/>
      <c r="AL45" s="2258"/>
      <c r="AM45" s="1177" t="s">
        <v>391</v>
      </c>
      <c r="AO45" s="426"/>
      <c r="AP45" s="426" t="str">
        <f t="shared" si="1"/>
        <v xml:space="preserve">Наименование системы теплоснабжения </v>
      </c>
      <c r="AQ45" s="426"/>
      <c r="AR45" s="426"/>
    </row>
    <row r="46" spans="1:44" ht="21" customHeight="1">
      <c r="A46" s="1279" t="s">
        <v>191</v>
      </c>
      <c r="B46" s="1279" t="s">
        <v>192</v>
      </c>
      <c r="C46" s="1279" t="s">
        <v>193</v>
      </c>
      <c r="D46" s="1279" t="s">
        <v>194</v>
      </c>
      <c r="E46" s="2271"/>
      <c r="F46" s="2271"/>
      <c r="G46" s="2271"/>
      <c r="H46" s="2270">
        <v>1</v>
      </c>
      <c r="I46" s="1279"/>
      <c r="J46" s="1279"/>
      <c r="K46" s="1279"/>
      <c r="L46" s="1280"/>
      <c r="M46" s="1281"/>
      <c r="N46" s="1281"/>
      <c r="O46" s="1281"/>
      <c r="P46" s="279"/>
      <c r="Q46" s="277"/>
      <c r="R46" s="278"/>
      <c r="S46" s="1253" t="str">
        <f>INDEX(PT_DIFFERENTIATION_NUM_IST_TE,MATCH(D46,PT_DIFFERENTIATION_IST_TE_ID,0))</f>
        <v>...</v>
      </c>
      <c r="T46" s="230" t="s">
        <v>392</v>
      </c>
      <c r="U46" s="218"/>
      <c r="V46" s="2256"/>
      <c r="W46" s="2257"/>
      <c r="X46" s="2257"/>
      <c r="Y46" s="2257"/>
      <c r="Z46" s="2257"/>
      <c r="AA46" s="2257"/>
      <c r="AB46" s="2257"/>
      <c r="AC46" s="2258"/>
      <c r="AD46" s="2256" t="str">
        <f>INDEX(PT_DIFFERENTIATION_IST_TE,MATCH(D46,PT_DIFFERENTIATION_IST_TE_ID,0))</f>
        <v/>
      </c>
      <c r="AE46" s="2257"/>
      <c r="AF46" s="2257"/>
      <c r="AG46" s="2257"/>
      <c r="AH46" s="2257"/>
      <c r="AI46" s="2257"/>
      <c r="AJ46" s="2257"/>
      <c r="AK46" s="2257"/>
      <c r="AL46" s="2258"/>
      <c r="AM46" s="1177" t="s">
        <v>393</v>
      </c>
      <c r="AO46" s="426"/>
      <c r="AP46" s="426" t="str">
        <f t="shared" si="1"/>
        <v xml:space="preserve">Источник тепловой энергии  </v>
      </c>
      <c r="AQ46" s="426"/>
      <c r="AR46" s="426"/>
    </row>
    <row r="47" spans="1:44" ht="47.25" customHeight="1">
      <c r="A47" s="1279" t="s">
        <v>191</v>
      </c>
      <c r="B47" s="1279" t="s">
        <v>192</v>
      </c>
      <c r="C47" s="1279" t="s">
        <v>193</v>
      </c>
      <c r="D47" s="1279" t="s">
        <v>194</v>
      </c>
      <c r="E47" s="2271"/>
      <c r="F47" s="2271"/>
      <c r="G47" s="2271"/>
      <c r="H47" s="2271"/>
      <c r="I47" s="2268" t="str">
        <f>S46&amp;".1"</f>
        <v>....1</v>
      </c>
      <c r="J47" s="1279"/>
      <c r="K47" s="1279"/>
      <c r="L47" s="1280" t="s">
        <v>394</v>
      </c>
      <c r="P47" s="2269">
        <v>1</v>
      </c>
      <c r="Q47" s="1248"/>
      <c r="R47" s="281"/>
      <c r="S47" s="1253" t="str">
        <f>$I47</f>
        <v>....1</v>
      </c>
      <c r="T47" s="203" t="s">
        <v>395</v>
      </c>
      <c r="U47" s="218"/>
      <c r="V47" s="2259"/>
      <c r="W47" s="2260"/>
      <c r="X47" s="2260"/>
      <c r="Y47" s="2260"/>
      <c r="Z47" s="2260"/>
      <c r="AA47" s="2260"/>
      <c r="AB47" s="2260"/>
      <c r="AC47" s="2261"/>
      <c r="AD47" s="2259"/>
      <c r="AE47" s="2260"/>
      <c r="AF47" s="2260"/>
      <c r="AG47" s="2260"/>
      <c r="AH47" s="2260"/>
      <c r="AI47" s="2260"/>
      <c r="AJ47" s="2260"/>
      <c r="AK47" s="2260"/>
      <c r="AL47" s="2261"/>
      <c r="AM47" s="1177" t="s">
        <v>396</v>
      </c>
      <c r="AO47" s="426"/>
      <c r="AP47" s="426" t="str">
        <f t="shared" si="1"/>
        <v>Схема подключения теплопотребляющей установки к коллектору источника тепловой энергии</v>
      </c>
      <c r="AQ47" s="426"/>
      <c r="AR47" s="426"/>
    </row>
    <row r="48" spans="1:44" ht="21" customHeight="1">
      <c r="A48" s="1279" t="s">
        <v>191</v>
      </c>
      <c r="B48" s="1279" t="s">
        <v>192</v>
      </c>
      <c r="C48" s="1279" t="s">
        <v>193</v>
      </c>
      <c r="D48" s="1279" t="s">
        <v>194</v>
      </c>
      <c r="E48" s="2271"/>
      <c r="F48" s="2271"/>
      <c r="G48" s="2271"/>
      <c r="H48" s="2271"/>
      <c r="I48" s="2291"/>
      <c r="J48" s="2268" t="str">
        <f>I47&amp;".1"</f>
        <v>....1.1</v>
      </c>
      <c r="K48" s="1279"/>
      <c r="L48" s="1280" t="s">
        <v>397</v>
      </c>
      <c r="P48" s="2269"/>
      <c r="Q48" s="2269">
        <v>1</v>
      </c>
      <c r="R48" s="282"/>
      <c r="S48" s="1253" t="str">
        <f>$J48</f>
        <v>....1.1</v>
      </c>
      <c r="T48" s="204" t="s">
        <v>398</v>
      </c>
      <c r="U48" s="218"/>
      <c r="V48" s="2259"/>
      <c r="W48" s="2260"/>
      <c r="X48" s="2260"/>
      <c r="Y48" s="2260"/>
      <c r="Z48" s="2260"/>
      <c r="AA48" s="2260"/>
      <c r="AB48" s="2260"/>
      <c r="AC48" s="2261"/>
      <c r="AD48" s="2259"/>
      <c r="AE48" s="2260"/>
      <c r="AF48" s="2260"/>
      <c r="AG48" s="2260"/>
      <c r="AH48" s="2260"/>
      <c r="AI48" s="2260"/>
      <c r="AJ48" s="2260"/>
      <c r="AK48" s="2260"/>
      <c r="AL48" s="2261"/>
      <c r="AM48" s="1177" t="s">
        <v>399</v>
      </c>
      <c r="AO48" s="426"/>
      <c r="AP48" s="426" t="str">
        <f t="shared" si="1"/>
        <v>Группа потребителей</v>
      </c>
      <c r="AQ48" s="426"/>
      <c r="AR48" s="426"/>
    </row>
    <row r="49" spans="1:44" ht="21" customHeight="1">
      <c r="A49" s="1279" t="s">
        <v>191</v>
      </c>
      <c r="B49" s="1279" t="s">
        <v>192</v>
      </c>
      <c r="C49" s="1279" t="s">
        <v>193</v>
      </c>
      <c r="D49" s="1279" t="s">
        <v>194</v>
      </c>
      <c r="E49" s="2271"/>
      <c r="F49" s="2271"/>
      <c r="G49" s="2271"/>
      <c r="H49" s="2271"/>
      <c r="I49" s="2291"/>
      <c r="J49" s="2291"/>
      <c r="K49" s="2268" t="str">
        <f>J48&amp;".1"</f>
        <v>....1.1.1</v>
      </c>
      <c r="L49" s="1280" t="s">
        <v>400</v>
      </c>
      <c r="P49" s="2269"/>
      <c r="Q49" s="2269"/>
      <c r="R49" s="282">
        <v>1</v>
      </c>
      <c r="S49" s="1253" t="str">
        <f>$K49</f>
        <v>....1.1.1</v>
      </c>
      <c r="T49" s="1264"/>
      <c r="U49" s="218"/>
      <c r="V49" s="250"/>
      <c r="W49" s="668"/>
      <c r="X49" s="250"/>
      <c r="Y49" s="318"/>
      <c r="Z49" s="2273"/>
      <c r="AA49" s="2124" t="s">
        <v>61</v>
      </c>
      <c r="AB49" s="2273"/>
      <c r="AC49" s="2124" t="s">
        <v>61</v>
      </c>
      <c r="AD49" s="250"/>
      <c r="AE49" s="668"/>
      <c r="AF49" s="250"/>
      <c r="AG49" s="318"/>
      <c r="AH49" s="2273"/>
      <c r="AI49" s="2124" t="s">
        <v>61</v>
      </c>
      <c r="AJ49" s="2292"/>
      <c r="AK49" s="2124" t="s">
        <v>61</v>
      </c>
      <c r="AL49" s="1265"/>
      <c r="AM49" s="2265" t="s">
        <v>401</v>
      </c>
      <c r="AN49" s="437" t="e">
        <f ca="1">STRCHECKDATE(V50:AL50)</f>
        <v>#NAME?</v>
      </c>
      <c r="AO49" s="426"/>
      <c r="AP49" s="426" t="str">
        <f t="shared" si="1"/>
        <v/>
      </c>
      <c r="AQ49" s="426"/>
      <c r="AR49" s="426"/>
    </row>
    <row r="50" spans="1:44" ht="0.75" customHeight="1">
      <c r="A50" s="1279" t="s">
        <v>191</v>
      </c>
      <c r="B50" s="1279" t="s">
        <v>192</v>
      </c>
      <c r="C50" s="1279" t="s">
        <v>193</v>
      </c>
      <c r="D50" s="1279" t="s">
        <v>194</v>
      </c>
      <c r="E50" s="2271"/>
      <c r="F50" s="2271"/>
      <c r="G50" s="2271"/>
      <c r="H50" s="2271"/>
      <c r="I50" s="2291"/>
      <c r="J50" s="2291"/>
      <c r="K50" s="2268"/>
      <c r="L50" s="1280"/>
      <c r="P50" s="2269"/>
      <c r="Q50" s="2269"/>
      <c r="R50" s="282"/>
      <c r="S50" s="1259"/>
      <c r="T50" s="218"/>
      <c r="U50" s="218"/>
      <c r="V50" s="250"/>
      <c r="W50" s="250"/>
      <c r="X50" s="250"/>
      <c r="Y50" s="254" t="str">
        <f>Z49&amp;"-"&amp;AB49</f>
        <v>-</v>
      </c>
      <c r="Z50" s="2274"/>
      <c r="AA50" s="2124"/>
      <c r="AB50" s="2274"/>
      <c r="AC50" s="2124"/>
      <c r="AD50" s="250"/>
      <c r="AE50" s="250"/>
      <c r="AF50" s="250"/>
      <c r="AG50" s="254" t="str">
        <f>AH49&amp;"-"&amp;AJ49</f>
        <v>-</v>
      </c>
      <c r="AH50" s="2274"/>
      <c r="AI50" s="2124"/>
      <c r="AJ50" s="2293"/>
      <c r="AK50" s="2124"/>
      <c r="AL50" s="1266"/>
      <c r="AM50" s="2266"/>
      <c r="AO50" s="426"/>
      <c r="AP50" s="426" t="str">
        <f t="shared" si="1"/>
        <v/>
      </c>
      <c r="AQ50" s="426"/>
      <c r="AR50" s="426"/>
    </row>
    <row r="51" spans="1:44" ht="11.25" customHeight="1">
      <c r="A51" s="1279" t="s">
        <v>191</v>
      </c>
      <c r="B51" s="1279" t="s">
        <v>192</v>
      </c>
      <c r="C51" s="1279" t="s">
        <v>193</v>
      </c>
      <c r="D51" s="1279" t="s">
        <v>194</v>
      </c>
      <c r="E51" s="2271"/>
      <c r="F51" s="2271"/>
      <c r="G51" s="2271"/>
      <c r="H51" s="2271"/>
      <c r="I51" s="2291"/>
      <c r="J51" s="2268"/>
      <c r="K51" s="1279"/>
      <c r="L51" s="1280"/>
      <c r="P51" s="2269"/>
      <c r="Q51" s="2269"/>
      <c r="R51" s="281"/>
      <c r="S51" s="1198"/>
      <c r="T51" s="206" t="s">
        <v>402</v>
      </c>
      <c r="U51" s="295"/>
      <c r="V51" s="295"/>
      <c r="W51" s="295"/>
      <c r="X51" s="295"/>
      <c r="Y51" s="295"/>
      <c r="Z51" s="295"/>
      <c r="AA51" s="295"/>
      <c r="AB51" s="295"/>
      <c r="AC51" s="295"/>
      <c r="AD51" s="295"/>
      <c r="AE51" s="295"/>
      <c r="AF51" s="295"/>
      <c r="AG51" s="295"/>
      <c r="AH51" s="295"/>
      <c r="AI51" s="295"/>
      <c r="AJ51" s="295"/>
      <c r="AK51" s="295"/>
      <c r="AL51" s="249"/>
      <c r="AM51" s="2267"/>
      <c r="AO51" s="426"/>
      <c r="AP51" s="426" t="str">
        <f t="shared" si="1"/>
        <v>Добавить вид теплоносителя (параметры теплоносителя)</v>
      </c>
      <c r="AQ51" s="426"/>
      <c r="AR51" s="426"/>
    </row>
    <row r="52" spans="1:44" ht="11.25" customHeight="1">
      <c r="A52" s="1279" t="s">
        <v>191</v>
      </c>
      <c r="B52" s="1279" t="s">
        <v>192</v>
      </c>
      <c r="C52" s="1279" t="s">
        <v>193</v>
      </c>
      <c r="D52" s="1279" t="s">
        <v>194</v>
      </c>
      <c r="E52" s="2271"/>
      <c r="F52" s="2271"/>
      <c r="G52" s="2271"/>
      <c r="H52" s="2271"/>
      <c r="I52" s="2268"/>
      <c r="J52" s="1279"/>
      <c r="K52" s="1279"/>
      <c r="L52" s="1280"/>
      <c r="P52" s="2269"/>
      <c r="Q52" s="1248"/>
      <c r="R52" s="281"/>
      <c r="S52" s="1198"/>
      <c r="T52" s="205" t="s">
        <v>403</v>
      </c>
      <c r="U52" s="295"/>
      <c r="V52" s="295"/>
      <c r="W52" s="295"/>
      <c r="X52" s="295"/>
      <c r="Y52" s="295"/>
      <c r="Z52" s="295"/>
      <c r="AA52" s="295"/>
      <c r="AB52" s="295"/>
      <c r="AC52" s="294"/>
      <c r="AD52" s="295"/>
      <c r="AE52" s="295"/>
      <c r="AF52" s="295"/>
      <c r="AG52" s="295"/>
      <c r="AH52" s="295"/>
      <c r="AI52" s="295"/>
      <c r="AJ52" s="295"/>
      <c r="AK52" s="294"/>
      <c r="AL52" s="295"/>
      <c r="AM52" s="221"/>
      <c r="AO52" s="426"/>
      <c r="AP52" s="426" t="str">
        <f t="shared" si="1"/>
        <v>Добавить группу потребителей</v>
      </c>
      <c r="AQ52" s="426"/>
      <c r="AR52" s="426"/>
    </row>
    <row r="53" spans="1:44" ht="14.25" customHeight="1">
      <c r="A53" s="1279" t="s">
        <v>191</v>
      </c>
      <c r="B53" s="1279" t="s">
        <v>192</v>
      </c>
      <c r="C53" s="1279" t="s">
        <v>193</v>
      </c>
      <c r="D53" s="1279" t="s">
        <v>194</v>
      </c>
      <c r="E53" s="2271"/>
      <c r="F53" s="2271"/>
      <c r="G53" s="2271"/>
      <c r="H53" s="2270"/>
      <c r="I53" s="1279"/>
      <c r="J53" s="1279"/>
      <c r="K53" s="1279"/>
      <c r="L53" s="1280"/>
      <c r="M53" s="1281"/>
      <c r="N53" s="1281"/>
      <c r="O53" s="462"/>
      <c r="P53" s="285"/>
      <c r="Q53" s="304"/>
      <c r="R53" s="280"/>
      <c r="S53" s="1198"/>
      <c r="T53" s="292" t="s">
        <v>404</v>
      </c>
      <c r="U53" s="295"/>
      <c r="V53" s="295"/>
      <c r="W53" s="295"/>
      <c r="X53" s="295"/>
      <c r="Y53" s="295"/>
      <c r="Z53" s="295"/>
      <c r="AA53" s="295"/>
      <c r="AB53" s="295"/>
      <c r="AC53" s="294"/>
      <c r="AD53" s="295"/>
      <c r="AE53" s="295"/>
      <c r="AF53" s="295"/>
      <c r="AG53" s="295"/>
      <c r="AH53" s="295"/>
      <c r="AI53" s="295"/>
      <c r="AJ53" s="295"/>
      <c r="AK53" s="294"/>
      <c r="AL53" s="295"/>
      <c r="AM53" s="221"/>
      <c r="AO53" s="426"/>
      <c r="AP53" s="426" t="str">
        <f t="shared" si="1"/>
        <v>Добавить схему подключения</v>
      </c>
      <c r="AQ53" s="426"/>
      <c r="AR53" s="426"/>
    </row>
    <row r="54" spans="1:44" s="1930" customFormat="1" ht="0.75" customHeight="1">
      <c r="A54" s="1260" t="s">
        <v>191</v>
      </c>
      <c r="B54" s="1260" t="s">
        <v>192</v>
      </c>
      <c r="C54" s="1260" t="s">
        <v>193</v>
      </c>
      <c r="D54" s="1232"/>
      <c r="E54" s="2271"/>
      <c r="F54" s="2271"/>
      <c r="G54" s="2270"/>
      <c r="H54" s="1232"/>
      <c r="I54" s="1232"/>
      <c r="J54" s="1232"/>
      <c r="K54" s="1232"/>
      <c r="L54" s="1256"/>
      <c r="M54" s="1233"/>
      <c r="N54" s="1233"/>
      <c r="P54" s="1234"/>
      <c r="Q54" s="1235"/>
      <c r="R54" s="1234"/>
      <c r="S54" s="1240"/>
      <c r="T54" s="1243" t="s">
        <v>405</v>
      </c>
      <c r="U54" s="1242"/>
      <c r="V54" s="1242"/>
      <c r="W54" s="1242"/>
      <c r="X54" s="1242"/>
      <c r="Y54" s="1242"/>
      <c r="Z54" s="1242"/>
      <c r="AA54" s="1242"/>
      <c r="AB54" s="1242"/>
      <c r="AC54" s="1242"/>
      <c r="AD54" s="1242"/>
      <c r="AE54" s="1242"/>
      <c r="AF54" s="1242"/>
      <c r="AG54" s="1242"/>
      <c r="AH54" s="1242"/>
      <c r="AI54" s="1242"/>
      <c r="AJ54" s="1242"/>
      <c r="AK54" s="1242"/>
      <c r="AL54" s="1242"/>
      <c r="AM54" s="1242"/>
      <c r="AO54" s="706"/>
      <c r="AP54" s="706" t="str">
        <f t="shared" si="1"/>
        <v>Добавить источник для дифференциации</v>
      </c>
      <c r="AQ54" s="706"/>
      <c r="AR54" s="706"/>
    </row>
    <row r="55" spans="1:44" s="1930" customFormat="1" ht="0.75" customHeight="1">
      <c r="A55" s="1260" t="s">
        <v>191</v>
      </c>
      <c r="B55" s="1260" t="s">
        <v>192</v>
      </c>
      <c r="C55" s="1232"/>
      <c r="D55" s="1232"/>
      <c r="E55" s="2271"/>
      <c r="F55" s="2270"/>
      <c r="G55" s="1232"/>
      <c r="H55" s="1232"/>
      <c r="I55" s="1232"/>
      <c r="J55" s="1232"/>
      <c r="K55" s="1232"/>
      <c r="L55" s="1256"/>
      <c r="M55" s="1239"/>
      <c r="N55" s="1239"/>
      <c r="P55" s="1234"/>
      <c r="Q55" s="1235"/>
      <c r="R55" s="1234"/>
      <c r="S55" s="1240"/>
      <c r="T55" s="1243" t="s">
        <v>215</v>
      </c>
      <c r="U55" s="1242"/>
      <c r="V55" s="1242"/>
      <c r="W55" s="1242"/>
      <c r="X55" s="1242"/>
      <c r="Y55" s="1242"/>
      <c r="Z55" s="1242"/>
      <c r="AA55" s="1242"/>
      <c r="AB55" s="1242"/>
      <c r="AC55" s="1242"/>
      <c r="AD55" s="1242"/>
      <c r="AE55" s="1242"/>
      <c r="AF55" s="1242"/>
      <c r="AG55" s="1242"/>
      <c r="AH55" s="1242"/>
      <c r="AI55" s="1242"/>
      <c r="AJ55" s="1242"/>
      <c r="AK55" s="1242"/>
      <c r="AL55" s="1242"/>
      <c r="AM55" s="1242"/>
      <c r="AO55" s="706"/>
      <c r="AP55" s="706" t="str">
        <f t="shared" si="1"/>
        <v>Добавить централизованную систему для дифференциации</v>
      </c>
      <c r="AQ55" s="706"/>
      <c r="AR55" s="706"/>
    </row>
    <row r="56" spans="1:44" s="1820" customFormat="1" ht="0.75" customHeight="1">
      <c r="A56" s="1260" t="s">
        <v>191</v>
      </c>
      <c r="B56" s="1260"/>
      <c r="C56" s="1260"/>
      <c r="D56" s="1260"/>
      <c r="E56" s="2270"/>
      <c r="F56" s="1260"/>
      <c r="G56" s="1260"/>
      <c r="H56" s="1260"/>
      <c r="I56" s="1260"/>
      <c r="J56" s="1260"/>
      <c r="K56" s="1260"/>
      <c r="L56" s="1263"/>
      <c r="M56" s="1239"/>
      <c r="N56" s="1239"/>
      <c r="O56" s="444"/>
      <c r="P56" s="313"/>
      <c r="Q56" s="1261"/>
      <c r="R56" s="313"/>
      <c r="S56" s="1240"/>
      <c r="T56" s="1243" t="s">
        <v>216</v>
      </c>
      <c r="U56" s="1242"/>
      <c r="V56" s="1242"/>
      <c r="W56" s="1242"/>
      <c r="X56" s="1242"/>
      <c r="Y56" s="1242"/>
      <c r="Z56" s="1242"/>
      <c r="AA56" s="1242"/>
      <c r="AB56" s="1242"/>
      <c r="AC56" s="1242"/>
      <c r="AD56" s="1242"/>
      <c r="AE56" s="1242"/>
      <c r="AF56" s="1242"/>
      <c r="AG56" s="1242"/>
      <c r="AH56" s="1242"/>
      <c r="AI56" s="1242"/>
      <c r="AJ56" s="1242"/>
      <c r="AK56" s="1242"/>
      <c r="AL56" s="1242"/>
      <c r="AM56" s="1242"/>
      <c r="AO56" s="426"/>
      <c r="AP56" s="426" t="str">
        <f t="shared" si="1"/>
        <v>Добавить территорию для дифференциации</v>
      </c>
      <c r="AQ56" s="426"/>
      <c r="AR56" s="426"/>
    </row>
    <row r="57" spans="1:44" s="1930" customFormat="1" ht="0.75" customHeight="1">
      <c r="A57" s="1232"/>
      <c r="B57" s="1232"/>
      <c r="C57" s="1232"/>
      <c r="D57" s="1232"/>
      <c r="E57" s="1260"/>
      <c r="F57" s="1232"/>
      <c r="G57" s="1232"/>
      <c r="H57" s="1232"/>
      <c r="I57" s="1232"/>
      <c r="J57" s="1232"/>
      <c r="K57" s="1232"/>
      <c r="L57" s="1256"/>
      <c r="M57" s="1239"/>
      <c r="N57" s="1239"/>
      <c r="P57" s="1234"/>
      <c r="Q57" s="1235"/>
      <c r="R57" s="1234"/>
      <c r="S57" s="1240"/>
      <c r="T57" s="1243" t="s">
        <v>217</v>
      </c>
      <c r="U57" s="1242"/>
      <c r="V57" s="1242"/>
      <c r="W57" s="1242"/>
      <c r="X57" s="1242"/>
      <c r="Y57" s="1242"/>
      <c r="Z57" s="1242"/>
      <c r="AA57" s="1242"/>
      <c r="AB57" s="1242"/>
      <c r="AC57" s="1242"/>
      <c r="AD57" s="1242"/>
      <c r="AE57" s="1242"/>
      <c r="AF57" s="1242"/>
      <c r="AG57" s="1242"/>
      <c r="AH57" s="1242"/>
      <c r="AI57" s="1242"/>
      <c r="AJ57" s="1242"/>
      <c r="AK57" s="1242"/>
      <c r="AL57" s="1242"/>
      <c r="AM57" s="1242"/>
      <c r="AO57" s="706"/>
      <c r="AP57" s="706" t="str">
        <f t="shared" si="1"/>
        <v>Добавить наименование тарифа</v>
      </c>
      <c r="AQ57" s="706"/>
      <c r="AR57" s="706"/>
    </row>
    <row r="58" spans="1:44" ht="11.25" customHeight="1">
      <c r="M58" s="1060"/>
      <c r="N58" s="1060"/>
      <c r="O58" s="462"/>
      <c r="P58" s="1055"/>
      <c r="Q58" s="1055"/>
      <c r="R58" s="1055"/>
      <c r="S58" s="1055"/>
      <c r="AN58" s="1055"/>
      <c r="AO58" s="1055"/>
      <c r="AP58" s="1055"/>
      <c r="AQ58" s="1055"/>
      <c r="AR58" s="1055"/>
    </row>
    <row r="59" spans="1:44" ht="27" customHeight="1">
      <c r="O59" s="462"/>
      <c r="S59" s="1164"/>
      <c r="T59" s="2290"/>
      <c r="U59" s="2290"/>
      <c r="V59" s="2290"/>
      <c r="W59" s="2290"/>
      <c r="X59" s="2290"/>
      <c r="Y59" s="2290"/>
      <c r="Z59" s="2290"/>
      <c r="AA59" s="2290"/>
      <c r="AB59" s="2290"/>
      <c r="AC59" s="2290"/>
      <c r="AD59" s="2290"/>
      <c r="AE59" s="2290"/>
      <c r="AF59" s="2290"/>
      <c r="AG59" s="2290"/>
      <c r="AH59" s="2290"/>
      <c r="AI59" s="2290"/>
      <c r="AJ59" s="2290"/>
      <c r="AK59" s="2290"/>
      <c r="AL59" s="2290"/>
      <c r="AM59" s="2290"/>
    </row>
    <row r="60" spans="1:44" ht="75" customHeight="1">
      <c r="O60" s="462"/>
      <c r="T60" s="2290"/>
      <c r="U60" s="2290"/>
      <c r="V60" s="2290"/>
      <c r="W60" s="2290"/>
      <c r="X60" s="2290"/>
      <c r="Y60" s="2290"/>
      <c r="Z60" s="2290"/>
      <c r="AA60" s="2290"/>
      <c r="AB60" s="2290"/>
      <c r="AC60" s="2290"/>
      <c r="AD60" s="2290"/>
      <c r="AE60" s="2290"/>
      <c r="AF60" s="2290"/>
      <c r="AG60" s="2290"/>
      <c r="AH60" s="2290"/>
      <c r="AI60" s="2290"/>
      <c r="AJ60" s="2290"/>
      <c r="AK60" s="2290"/>
      <c r="AL60" s="2290"/>
      <c r="AM60" s="2290"/>
    </row>
    <row r="61" spans="1:44" ht="14.25" customHeight="1">
      <c r="O61" s="462"/>
    </row>
    <row r="62" spans="1:44" ht="18" customHeight="1">
      <c r="O62" s="462"/>
      <c r="S62" s="1164"/>
      <c r="T62" s="2290"/>
      <c r="U62" s="2290"/>
      <c r="V62" s="2290"/>
      <c r="W62" s="2290"/>
      <c r="X62" s="2290"/>
      <c r="Y62" s="2290"/>
      <c r="Z62" s="2290"/>
      <c r="AA62" s="2290"/>
      <c r="AB62" s="2290"/>
      <c r="AC62" s="2290"/>
      <c r="AD62" s="2290"/>
      <c r="AE62" s="2290"/>
      <c r="AF62" s="2290"/>
      <c r="AG62" s="2290"/>
      <c r="AH62" s="2290"/>
      <c r="AI62" s="2290"/>
      <c r="AJ62" s="2290"/>
      <c r="AK62" s="2290"/>
      <c r="AL62" s="2290"/>
      <c r="AM62" s="2290"/>
    </row>
    <row r="63" spans="1:44" ht="18" customHeight="1">
      <c r="O63" s="462"/>
      <c r="T63" s="2290"/>
      <c r="U63" s="2290"/>
      <c r="V63" s="2290"/>
      <c r="W63" s="2290"/>
      <c r="X63" s="2290"/>
      <c r="Y63" s="2290"/>
      <c r="Z63" s="2290"/>
      <c r="AA63" s="2290"/>
      <c r="AB63" s="2290"/>
      <c r="AC63" s="2290"/>
      <c r="AD63" s="2290"/>
      <c r="AE63" s="2290"/>
      <c r="AF63" s="2290"/>
      <c r="AG63" s="2290"/>
      <c r="AH63" s="2290"/>
      <c r="AI63" s="2290"/>
      <c r="AJ63" s="2290"/>
      <c r="AK63" s="2290"/>
      <c r="AL63" s="2290"/>
      <c r="AM63" s="2290"/>
    </row>
    <row r="64" spans="1:44" ht="38.25" customHeight="1">
      <c r="O64" s="462"/>
      <c r="S64" s="1164"/>
      <c r="T64" s="2290"/>
      <c r="U64" s="2290"/>
      <c r="V64" s="2290"/>
      <c r="W64" s="2290"/>
      <c r="X64" s="2290"/>
      <c r="Y64" s="2290"/>
      <c r="Z64" s="2290"/>
      <c r="AA64" s="2290"/>
      <c r="AB64" s="2290"/>
      <c r="AC64" s="2290"/>
      <c r="AD64" s="2290"/>
      <c r="AE64" s="2290"/>
      <c r="AF64" s="2290"/>
      <c r="AG64" s="2290"/>
      <c r="AH64" s="2290"/>
      <c r="AI64" s="2290"/>
      <c r="AJ64" s="2290"/>
      <c r="AK64" s="2290"/>
      <c r="AL64" s="2290"/>
      <c r="AM64" s="2290"/>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0F39B-B7E2-C612-F739-1CAB42B33163}">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2" style="1931" hidden="1" customWidth="1"/>
    <col min="10" max="10" width="9.85546875" style="1931" hidden="1" customWidth="1"/>
    <col min="11" max="11" width="11.42578125" style="1931" hidden="1" customWidth="1"/>
    <col min="12" max="12" width="19.140625" style="1932" hidden="1" customWidth="1"/>
    <col min="13" max="14" width="12.28515625" style="1933" hidden="1" customWidth="1"/>
    <col min="15" max="15" width="23.42578125" style="1933" hidden="1" customWidth="1"/>
    <col min="16" max="16" width="3.7109375" style="1937" hidden="1" customWidth="1"/>
    <col min="17" max="18" width="3.7109375" style="1939" customWidth="1"/>
    <col min="19" max="19" width="12.7109375" style="1940" customWidth="1"/>
    <col min="20" max="20" width="32" style="1905" customWidth="1"/>
    <col min="21" max="21" width="0.140625" style="1905" customWidth="1"/>
    <col min="22" max="22" width="24.7109375" style="1905" hidden="1" customWidth="1"/>
    <col min="23" max="23" width="0.140625" style="1905" hidden="1" customWidth="1"/>
    <col min="24" max="25" width="24.7109375" style="1905" hidden="1" customWidth="1"/>
    <col min="26" max="26" width="11.7109375" style="1905" hidden="1" customWidth="1"/>
    <col min="27" max="27" width="3.7109375" style="1905" hidden="1" customWidth="1"/>
    <col min="28" max="28" width="11.7109375" style="1905" hidden="1" customWidth="1"/>
    <col min="29" max="29" width="8.5703125" style="1905" hidden="1" customWidth="1"/>
    <col min="30" max="30" width="24.7109375" style="1905" customWidth="1"/>
    <col min="31" max="31" width="0.140625" style="1905" customWidth="1"/>
    <col min="32" max="33" width="24.7109375" style="1905" customWidth="1"/>
    <col min="34" max="34" width="11.7109375" style="1905" customWidth="1"/>
    <col min="35" max="35" width="3.7109375" style="1905" customWidth="1"/>
    <col min="36" max="36" width="11.7109375" style="1905" customWidth="1"/>
    <col min="37" max="37" width="8.5703125" style="1905" hidden="1" customWidth="1"/>
    <col min="38" max="38" width="4.7109375" style="1905" customWidth="1"/>
    <col min="39" max="39" width="115.7109375" style="1905" customWidth="1"/>
    <col min="40" max="41" width="10.5703125" style="1820"/>
    <col min="42" max="42" width="11.140625" style="1820" customWidth="1"/>
    <col min="43" max="44" width="10.5703125" style="1820"/>
  </cols>
  <sheetData>
    <row r="1" spans="1:44" ht="14.25" hidden="1" customHeight="1">
      <c r="Y1" s="253"/>
      <c r="Z1" s="253"/>
      <c r="AG1" s="253"/>
      <c r="AH1" s="253"/>
    </row>
    <row r="2" spans="1:44" ht="21" hidden="1" customHeight="1">
      <c r="A2" s="1279"/>
      <c r="B2" s="1279"/>
      <c r="C2" s="1279"/>
      <c r="D2" s="1279"/>
      <c r="E2" s="2270">
        <v>1</v>
      </c>
      <c r="F2" s="1279"/>
      <c r="G2" s="1279"/>
      <c r="H2" s="1279"/>
      <c r="I2" s="1279"/>
      <c r="J2" s="1279"/>
      <c r="K2" s="1279"/>
      <c r="L2" s="1280"/>
      <c r="M2" s="1281"/>
      <c r="N2" s="1281"/>
      <c r="O2" s="1281"/>
      <c r="P2" s="286"/>
      <c r="Q2" s="285"/>
      <c r="R2" s="280"/>
      <c r="S2" s="1253" t="e">
        <f>INDEX(PT_DIFFERENTIATION_NUM_NTAR,MATCH(A2,PT_DIFFERENTIATION_NTAR_ID,0))</f>
        <v>#N/A</v>
      </c>
      <c r="T2" s="216" t="s">
        <v>122</v>
      </c>
      <c r="U2" s="218"/>
      <c r="V2" s="2256"/>
      <c r="W2" s="2257"/>
      <c r="X2" s="2257"/>
      <c r="Y2" s="2257"/>
      <c r="Z2" s="2257"/>
      <c r="AA2" s="2257"/>
      <c r="AB2" s="2257"/>
      <c r="AC2" s="2258"/>
      <c r="AD2" s="2256" t="e">
        <f>INDEX(PT_DIFFERENTIATION_NTAR,MATCH(A2,PT_DIFFERENTIATION_NTAR_ID,0))</f>
        <v>#N/A</v>
      </c>
      <c r="AE2" s="2257"/>
      <c r="AF2" s="2257"/>
      <c r="AG2" s="2257"/>
      <c r="AH2" s="2257"/>
      <c r="AI2" s="2257"/>
      <c r="AJ2" s="2257"/>
      <c r="AK2" s="2257"/>
      <c r="AL2" s="2258"/>
      <c r="AM2" s="1177" t="s">
        <v>387</v>
      </c>
      <c r="AO2" s="426"/>
      <c r="AP2" s="426" t="str">
        <f t="shared" ref="AP2:AP15" si="0">IF(T2="","",T2)</f>
        <v>Наименование тарифа</v>
      </c>
      <c r="AQ2" s="426"/>
      <c r="AR2" s="426"/>
    </row>
    <row r="3" spans="1:44" ht="21" hidden="1" customHeight="1">
      <c r="A3" s="1279"/>
      <c r="B3" s="1279"/>
      <c r="C3" s="1279"/>
      <c r="D3" s="1279"/>
      <c r="E3" s="2271"/>
      <c r="F3" s="2270">
        <v>1</v>
      </c>
      <c r="G3" s="1279"/>
      <c r="H3" s="1279"/>
      <c r="I3" s="1279"/>
      <c r="J3" s="1279"/>
      <c r="K3" s="1279"/>
      <c r="L3" s="1280"/>
      <c r="M3" s="1281"/>
      <c r="N3" s="1281"/>
      <c r="O3" s="1281"/>
      <c r="P3" s="1249"/>
      <c r="Q3" s="277"/>
      <c r="R3" s="278"/>
      <c r="S3" s="1253" t="e">
        <f>INDEX(PT_DIFFERENTIATION_NUM_TER,MATCH(B3,PT_DIFFERENTIATION_TER_ID,0))</f>
        <v>#N/A</v>
      </c>
      <c r="T3" s="228" t="s">
        <v>388</v>
      </c>
      <c r="U3" s="218"/>
      <c r="V3" s="2256"/>
      <c r="W3" s="2257"/>
      <c r="X3" s="2257"/>
      <c r="Y3" s="2257"/>
      <c r="Z3" s="2257"/>
      <c r="AA3" s="2257"/>
      <c r="AB3" s="2257"/>
      <c r="AC3" s="2258"/>
      <c r="AD3" s="2256" t="e">
        <f>INDEX(PT_DIFFERENTIATION_TER,MATCH(B3,PT_DIFFERENTIATION_TER_ID,0))</f>
        <v>#N/A</v>
      </c>
      <c r="AE3" s="2257"/>
      <c r="AF3" s="2257"/>
      <c r="AG3" s="2257"/>
      <c r="AH3" s="2257"/>
      <c r="AI3" s="2257"/>
      <c r="AJ3" s="2257"/>
      <c r="AK3" s="2257"/>
      <c r="AL3" s="2258"/>
      <c r="AM3" s="1177" t="s">
        <v>389</v>
      </c>
      <c r="AO3" s="426"/>
      <c r="AP3" s="426" t="str">
        <f t="shared" si="0"/>
        <v>Территория действия тарифа</v>
      </c>
      <c r="AQ3" s="426"/>
      <c r="AR3" s="426"/>
    </row>
    <row r="4" spans="1:44" ht="23.25" hidden="1" customHeight="1">
      <c r="A4" s="1279"/>
      <c r="B4" s="1279"/>
      <c r="C4" s="1279"/>
      <c r="D4" s="1279"/>
      <c r="E4" s="2271"/>
      <c r="F4" s="2271"/>
      <c r="G4" s="2270">
        <v>1</v>
      </c>
      <c r="H4" s="1279"/>
      <c r="I4" s="1279"/>
      <c r="J4" s="1279"/>
      <c r="K4" s="1279"/>
      <c r="L4" s="1280"/>
      <c r="M4" s="1281"/>
      <c r="N4" s="1281"/>
      <c r="O4" s="1281"/>
      <c r="P4" s="279"/>
      <c r="Q4" s="277"/>
      <c r="R4" s="278"/>
      <c r="S4" s="1253" t="e">
        <f>INDEX(PT_DIFFERENTIATION_NUM_CS,MATCH(C4,PT_DIFFERENTIATION_CS_ID,0))</f>
        <v>#N/A</v>
      </c>
      <c r="T4" s="229" t="s">
        <v>390</v>
      </c>
      <c r="U4" s="218"/>
      <c r="V4" s="2256"/>
      <c r="W4" s="2257"/>
      <c r="X4" s="2257"/>
      <c r="Y4" s="2257"/>
      <c r="Z4" s="2257"/>
      <c r="AA4" s="2257"/>
      <c r="AB4" s="2257"/>
      <c r="AC4" s="2258"/>
      <c r="AD4" s="2256" t="e">
        <f>INDEX(PT_DIFFERENTIATION_CS,MATCH(C4,PT_DIFFERENTIATION_CS_ID,0))</f>
        <v>#N/A</v>
      </c>
      <c r="AE4" s="2257"/>
      <c r="AF4" s="2257"/>
      <c r="AG4" s="2257"/>
      <c r="AH4" s="2257"/>
      <c r="AI4" s="2257"/>
      <c r="AJ4" s="2257"/>
      <c r="AK4" s="2257"/>
      <c r="AL4" s="2258"/>
      <c r="AM4" s="1177" t="s">
        <v>391</v>
      </c>
      <c r="AO4" s="426"/>
      <c r="AP4" s="426" t="str">
        <f t="shared" si="0"/>
        <v xml:space="preserve">Наименование системы теплоснабжения </v>
      </c>
      <c r="AQ4" s="426"/>
      <c r="AR4" s="426"/>
    </row>
    <row r="5" spans="1:44" ht="21" hidden="1" customHeight="1">
      <c r="A5" s="1279"/>
      <c r="B5" s="1279"/>
      <c r="C5" s="1279"/>
      <c r="D5" s="1279"/>
      <c r="E5" s="2271"/>
      <c r="F5" s="2271"/>
      <c r="G5" s="2271"/>
      <c r="H5" s="2270">
        <v>1</v>
      </c>
      <c r="I5" s="1279"/>
      <c r="J5" s="1279"/>
      <c r="K5" s="1279"/>
      <c r="L5" s="1280"/>
      <c r="M5" s="1281"/>
      <c r="N5" s="1281"/>
      <c r="O5" s="1281"/>
      <c r="P5" s="279"/>
      <c r="Q5" s="277"/>
      <c r="R5" s="278"/>
      <c r="S5" s="1253" t="e">
        <f>INDEX(PT_DIFFERENTIATION_NUM_IST_TE,MATCH(D5,PT_DIFFERENTIATION_IST_TE_ID,0))</f>
        <v>#N/A</v>
      </c>
      <c r="T5" s="230" t="s">
        <v>392</v>
      </c>
      <c r="U5" s="218"/>
      <c r="V5" s="2256"/>
      <c r="W5" s="2257"/>
      <c r="X5" s="2257"/>
      <c r="Y5" s="2257"/>
      <c r="Z5" s="2257"/>
      <c r="AA5" s="2257"/>
      <c r="AB5" s="2257"/>
      <c r="AC5" s="2258"/>
      <c r="AD5" s="2256" t="e">
        <f>INDEX(PT_DIFFERENTIATION_IST_TE,MATCH(D5,PT_DIFFERENTIATION_IST_TE_ID,0))</f>
        <v>#N/A</v>
      </c>
      <c r="AE5" s="2257"/>
      <c r="AF5" s="2257"/>
      <c r="AG5" s="2257"/>
      <c r="AH5" s="2257"/>
      <c r="AI5" s="2257"/>
      <c r="AJ5" s="2257"/>
      <c r="AK5" s="2257"/>
      <c r="AL5" s="2258"/>
      <c r="AM5" s="1177" t="s">
        <v>393</v>
      </c>
      <c r="AO5" s="426"/>
      <c r="AP5" s="426" t="str">
        <f t="shared" si="0"/>
        <v xml:space="preserve">Источник тепловой энергии  </v>
      </c>
      <c r="AQ5" s="426"/>
      <c r="AR5" s="426"/>
    </row>
    <row r="6" spans="1:44" ht="14.25" hidden="1" customHeight="1">
      <c r="A6" s="1279"/>
      <c r="B6" s="1279"/>
      <c r="C6" s="1279"/>
      <c r="D6" s="1279"/>
      <c r="E6" s="2271"/>
      <c r="F6" s="2271"/>
      <c r="G6" s="2271"/>
      <c r="H6" s="2271"/>
      <c r="I6" s="2268" t="e">
        <f>S5&amp;".1"</f>
        <v>#N/A</v>
      </c>
      <c r="J6" s="1279"/>
      <c r="K6" s="1279"/>
      <c r="L6" s="1280" t="s">
        <v>394</v>
      </c>
      <c r="M6" s="462"/>
      <c r="P6" s="2269">
        <v>1</v>
      </c>
      <c r="Q6" s="1248"/>
      <c r="R6" s="281"/>
      <c r="S6" s="949"/>
      <c r="T6" s="1299"/>
      <c r="U6" s="1300"/>
      <c r="V6" s="2297"/>
      <c r="W6" s="2298"/>
      <c r="X6" s="2298"/>
      <c r="Y6" s="2298"/>
      <c r="Z6" s="2298"/>
      <c r="AA6" s="2298"/>
      <c r="AB6" s="2298"/>
      <c r="AC6" s="2299"/>
      <c r="AD6" s="2297"/>
      <c r="AE6" s="2298"/>
      <c r="AF6" s="2298"/>
      <c r="AG6" s="2298"/>
      <c r="AH6" s="2298"/>
      <c r="AI6" s="2298"/>
      <c r="AJ6" s="2298"/>
      <c r="AK6" s="2298"/>
      <c r="AL6" s="2299"/>
      <c r="AM6" s="1301"/>
      <c r="AO6" s="426"/>
      <c r="AP6" s="426" t="str">
        <f t="shared" si="0"/>
        <v/>
      </c>
      <c r="AQ6" s="426"/>
      <c r="AR6" s="426"/>
    </row>
    <row r="7" spans="1:44" ht="21" hidden="1" customHeight="1">
      <c r="A7" s="1279"/>
      <c r="B7" s="1279"/>
      <c r="C7" s="1279"/>
      <c r="D7" s="1279"/>
      <c r="E7" s="2271"/>
      <c r="F7" s="2271"/>
      <c r="G7" s="2271"/>
      <c r="H7" s="2271"/>
      <c r="I7" s="2291"/>
      <c r="J7" s="2268" t="e">
        <f>I6&amp;".1"</f>
        <v>#N/A</v>
      </c>
      <c r="K7" s="1279"/>
      <c r="L7" s="1280" t="s">
        <v>397</v>
      </c>
      <c r="M7" s="462"/>
      <c r="N7" s="1282"/>
      <c r="P7" s="2269"/>
      <c r="Q7" s="2269">
        <v>1</v>
      </c>
      <c r="R7" s="282"/>
      <c r="S7" s="1253" t="e">
        <f>$J7</f>
        <v>#N/A</v>
      </c>
      <c r="T7" s="204" t="s">
        <v>398</v>
      </c>
      <c r="U7" s="218"/>
      <c r="V7" s="2259"/>
      <c r="W7" s="2260"/>
      <c r="X7" s="2260"/>
      <c r="Y7" s="2260"/>
      <c r="Z7" s="2260"/>
      <c r="AA7" s="2260"/>
      <c r="AB7" s="2260"/>
      <c r="AC7" s="2261"/>
      <c r="AD7" s="2259"/>
      <c r="AE7" s="2260"/>
      <c r="AF7" s="2260"/>
      <c r="AG7" s="2260"/>
      <c r="AH7" s="2260"/>
      <c r="AI7" s="2260"/>
      <c r="AJ7" s="2260"/>
      <c r="AK7" s="2260"/>
      <c r="AL7" s="2261"/>
      <c r="AM7" s="1177" t="s">
        <v>399</v>
      </c>
      <c r="AO7" s="426"/>
      <c r="AP7" s="426" t="str">
        <f t="shared" si="0"/>
        <v>Группа потребителей</v>
      </c>
      <c r="AQ7" s="426"/>
      <c r="AR7" s="426"/>
    </row>
    <row r="8" spans="1:44" ht="21" hidden="1" customHeight="1">
      <c r="A8" s="1279"/>
      <c r="B8" s="1279"/>
      <c r="C8" s="1279"/>
      <c r="D8" s="1279"/>
      <c r="E8" s="2271"/>
      <c r="F8" s="2271"/>
      <c r="G8" s="2271"/>
      <c r="H8" s="2271"/>
      <c r="I8" s="2291"/>
      <c r="J8" s="2291"/>
      <c r="K8" s="2268" t="e">
        <f>J7&amp;".1"</f>
        <v>#N/A</v>
      </c>
      <c r="L8" s="1280" t="s">
        <v>400</v>
      </c>
      <c r="M8" s="462"/>
      <c r="N8" s="1282"/>
      <c r="O8" s="1282"/>
      <c r="P8" s="2269"/>
      <c r="Q8" s="2269"/>
      <c r="R8" s="282">
        <v>1</v>
      </c>
      <c r="S8" s="1253" t="e">
        <f>$K8</f>
        <v>#N/A</v>
      </c>
      <c r="T8" s="1264"/>
      <c r="U8" s="218"/>
      <c r="V8" s="668"/>
      <c r="W8" s="250"/>
      <c r="X8" s="668"/>
      <c r="Y8" s="1176"/>
      <c r="Z8" s="2273"/>
      <c r="AA8" s="2124" t="s">
        <v>61</v>
      </c>
      <c r="AB8" s="2273"/>
      <c r="AC8" s="2124" t="s">
        <v>61</v>
      </c>
      <c r="AD8" s="668"/>
      <c r="AE8" s="250"/>
      <c r="AF8" s="668"/>
      <c r="AG8" s="1176"/>
      <c r="AH8" s="2273"/>
      <c r="AI8" s="2124" t="s">
        <v>61</v>
      </c>
      <c r="AJ8" s="2273"/>
      <c r="AK8" s="2124" t="s">
        <v>61</v>
      </c>
      <c r="AL8" s="250"/>
      <c r="AM8" s="2265" t="s">
        <v>401</v>
      </c>
      <c r="AN8" s="437" t="e">
        <f ca="1">STRCHECKDATE(V9:AL9)</f>
        <v>#NAME?</v>
      </c>
      <c r="AO8" s="426"/>
      <c r="AP8" s="426" t="str">
        <f t="shared" si="0"/>
        <v/>
      </c>
      <c r="AQ8" s="426"/>
      <c r="AR8" s="426"/>
    </row>
    <row r="9" spans="1:44" ht="0.75" hidden="1" customHeight="1">
      <c r="A9" s="1279"/>
      <c r="B9" s="1279"/>
      <c r="C9" s="1279"/>
      <c r="D9" s="1279"/>
      <c r="E9" s="2271"/>
      <c r="F9" s="2271"/>
      <c r="G9" s="2271"/>
      <c r="H9" s="2271"/>
      <c r="I9" s="2291"/>
      <c r="J9" s="2291"/>
      <c r="K9" s="2268"/>
      <c r="L9" s="1280"/>
      <c r="M9" s="462"/>
      <c r="N9" s="1282"/>
      <c r="O9" s="1282"/>
      <c r="P9" s="2269"/>
      <c r="Q9" s="2269"/>
      <c r="R9" s="282"/>
      <c r="S9" s="1259"/>
      <c r="T9" s="218"/>
      <c r="U9" s="218"/>
      <c r="V9" s="250"/>
      <c r="W9" s="250"/>
      <c r="X9" s="250"/>
      <c r="Y9" s="254" t="str">
        <f>Z8&amp;"-"&amp;AB8</f>
        <v>-</v>
      </c>
      <c r="Z9" s="2274"/>
      <c r="AA9" s="2124"/>
      <c r="AB9" s="2274"/>
      <c r="AC9" s="2124"/>
      <c r="AD9" s="250"/>
      <c r="AE9" s="250"/>
      <c r="AF9" s="250"/>
      <c r="AG9" s="254" t="str">
        <f>AH8&amp;"-"&amp;AJ8</f>
        <v>-</v>
      </c>
      <c r="AH9" s="2274"/>
      <c r="AI9" s="2124"/>
      <c r="AJ9" s="2274"/>
      <c r="AK9" s="2124"/>
      <c r="AL9" s="250"/>
      <c r="AM9" s="2266"/>
      <c r="AO9" s="426"/>
      <c r="AP9" s="426" t="str">
        <f t="shared" si="0"/>
        <v/>
      </c>
      <c r="AQ9" s="426"/>
      <c r="AR9" s="426"/>
    </row>
    <row r="10" spans="1:44" ht="15" hidden="1" customHeight="1">
      <c r="A10" s="1279"/>
      <c r="B10" s="1279"/>
      <c r="C10" s="1279"/>
      <c r="D10" s="1279"/>
      <c r="E10" s="2271"/>
      <c r="F10" s="2271"/>
      <c r="G10" s="2271"/>
      <c r="H10" s="2271"/>
      <c r="I10" s="2291"/>
      <c r="J10" s="2268"/>
      <c r="K10" s="1279"/>
      <c r="L10" s="1280"/>
      <c r="M10" s="462"/>
      <c r="N10" s="1282"/>
      <c r="P10" s="2269"/>
      <c r="Q10" s="2269"/>
      <c r="R10" s="281"/>
      <c r="S10" s="1198"/>
      <c r="T10" s="205" t="s">
        <v>402</v>
      </c>
      <c r="U10" s="295"/>
      <c r="V10" s="295"/>
      <c r="W10" s="295"/>
      <c r="X10" s="295"/>
      <c r="Y10" s="295"/>
      <c r="Z10" s="295"/>
      <c r="AA10" s="295"/>
      <c r="AB10" s="295"/>
      <c r="AC10" s="295"/>
      <c r="AD10" s="295"/>
      <c r="AE10" s="295"/>
      <c r="AF10" s="295"/>
      <c r="AG10" s="295"/>
      <c r="AH10" s="295"/>
      <c r="AI10" s="295"/>
      <c r="AJ10" s="295"/>
      <c r="AK10" s="295"/>
      <c r="AL10" s="249"/>
      <c r="AM10" s="2267"/>
      <c r="AO10" s="426"/>
      <c r="AP10" s="426" t="str">
        <f t="shared" si="0"/>
        <v>Добавить вид теплоносителя (параметры теплоносителя)</v>
      </c>
      <c r="AQ10" s="426"/>
      <c r="AR10" s="426"/>
    </row>
    <row r="11" spans="1:44" ht="15" hidden="1" customHeight="1">
      <c r="A11" s="1279"/>
      <c r="B11" s="1279"/>
      <c r="C11" s="1279"/>
      <c r="D11" s="1279"/>
      <c r="E11" s="2271"/>
      <c r="F11" s="2271"/>
      <c r="G11" s="2271"/>
      <c r="H11" s="2271"/>
      <c r="I11" s="2268"/>
      <c r="J11" s="1279"/>
      <c r="K11" s="1279"/>
      <c r="L11" s="1280"/>
      <c r="M11" s="462"/>
      <c r="P11" s="2269"/>
      <c r="Q11" s="1248"/>
      <c r="R11" s="281"/>
      <c r="S11" s="1198"/>
      <c r="T11" s="292" t="s">
        <v>403</v>
      </c>
      <c r="U11" s="295"/>
      <c r="V11" s="295"/>
      <c r="W11" s="295"/>
      <c r="X11" s="295"/>
      <c r="Y11" s="295"/>
      <c r="Z11" s="295"/>
      <c r="AA11" s="295"/>
      <c r="AB11" s="295"/>
      <c r="AC11" s="294"/>
      <c r="AD11" s="295"/>
      <c r="AE11" s="295"/>
      <c r="AF11" s="295"/>
      <c r="AG11" s="295"/>
      <c r="AH11" s="295"/>
      <c r="AI11" s="295"/>
      <c r="AJ11" s="295"/>
      <c r="AK11" s="294"/>
      <c r="AL11" s="295"/>
      <c r="AM11" s="221"/>
      <c r="AO11" s="426"/>
      <c r="AP11" s="426" t="str">
        <f t="shared" si="0"/>
        <v>Добавить группу потребителей</v>
      </c>
      <c r="AQ11" s="426"/>
      <c r="AR11" s="426"/>
    </row>
    <row r="12" spans="1:44" ht="14.25" hidden="1" customHeight="1">
      <c r="A12" s="1279"/>
      <c r="B12" s="1279"/>
      <c r="C12" s="1279"/>
      <c r="D12" s="1279"/>
      <c r="E12" s="2271"/>
      <c r="F12" s="2271"/>
      <c r="G12" s="2271"/>
      <c r="H12" s="2270"/>
      <c r="I12" s="1279"/>
      <c r="J12" s="1279"/>
      <c r="K12" s="1279"/>
      <c r="L12" s="1280"/>
      <c r="M12" s="1281"/>
      <c r="N12" s="1281"/>
      <c r="O12" s="462"/>
      <c r="P12" s="285"/>
      <c r="Q12" s="304"/>
      <c r="R12" s="280"/>
      <c r="S12" s="1302"/>
      <c r="T12" s="1303"/>
      <c r="U12" s="1304"/>
      <c r="V12" s="1304"/>
      <c r="W12" s="1304"/>
      <c r="X12" s="1304"/>
      <c r="Y12" s="1304"/>
      <c r="Z12" s="1304"/>
      <c r="AA12" s="1304"/>
      <c r="AB12" s="1304"/>
      <c r="AC12" s="1304"/>
      <c r="AD12" s="1304"/>
      <c r="AE12" s="1304"/>
      <c r="AF12" s="1304"/>
      <c r="AG12" s="1304"/>
      <c r="AH12" s="1304"/>
      <c r="AI12" s="1304"/>
      <c r="AJ12" s="1304"/>
      <c r="AK12" s="1304"/>
      <c r="AL12" s="1304"/>
      <c r="AM12" s="1305"/>
      <c r="AO12" s="426"/>
      <c r="AP12" s="426" t="str">
        <f t="shared" si="0"/>
        <v/>
      </c>
      <c r="AQ12" s="426"/>
      <c r="AR12" s="426"/>
    </row>
    <row r="13" spans="1:44" s="1930" customFormat="1" ht="0.75" hidden="1" customHeight="1">
      <c r="A13" s="1232"/>
      <c r="B13" s="1232"/>
      <c r="C13" s="1232"/>
      <c r="D13" s="1232"/>
      <c r="E13" s="2271"/>
      <c r="F13" s="2271"/>
      <c r="G13" s="2270"/>
      <c r="H13" s="1232"/>
      <c r="I13" s="1232"/>
      <c r="J13" s="1232"/>
      <c r="K13" s="1232"/>
      <c r="L13" s="1256"/>
      <c r="M13" s="1233"/>
      <c r="N13" s="1233"/>
      <c r="P13" s="1234"/>
      <c r="Q13" s="1235"/>
      <c r="R13" s="1234"/>
      <c r="S13" s="1236"/>
      <c r="T13" s="1237" t="s">
        <v>405</v>
      </c>
      <c r="U13" s="1238"/>
      <c r="V13" s="1238"/>
      <c r="W13" s="1238"/>
      <c r="X13" s="1238"/>
      <c r="Y13" s="1238"/>
      <c r="Z13" s="1238"/>
      <c r="AA13" s="1238"/>
      <c r="AB13" s="1238"/>
      <c r="AC13" s="1238"/>
      <c r="AD13" s="1238"/>
      <c r="AE13" s="1238"/>
      <c r="AF13" s="1238"/>
      <c r="AG13" s="1238"/>
      <c r="AH13" s="1238"/>
      <c r="AI13" s="1238"/>
      <c r="AJ13" s="1238"/>
      <c r="AK13" s="1238"/>
      <c r="AL13" s="1238"/>
      <c r="AM13" s="1238"/>
      <c r="AO13" s="706"/>
      <c r="AP13" s="706" t="str">
        <f t="shared" si="0"/>
        <v>Добавить источник для дифференциации</v>
      </c>
      <c r="AQ13" s="706"/>
      <c r="AR13" s="706"/>
    </row>
    <row r="14" spans="1:44" s="1930" customFormat="1" ht="0.75" hidden="1" customHeight="1">
      <c r="A14" s="1232"/>
      <c r="B14" s="1232"/>
      <c r="C14" s="1232"/>
      <c r="D14" s="1232"/>
      <c r="E14" s="2271"/>
      <c r="F14" s="2270"/>
      <c r="G14" s="1232"/>
      <c r="H14" s="1232"/>
      <c r="I14" s="1232"/>
      <c r="J14" s="1232"/>
      <c r="K14" s="1232"/>
      <c r="L14" s="1256"/>
      <c r="M14" s="1239"/>
      <c r="N14" s="1239"/>
      <c r="P14" s="1234"/>
      <c r="Q14" s="1235"/>
      <c r="R14" s="1234"/>
      <c r="S14" s="1240"/>
      <c r="T14" s="1241" t="s">
        <v>215</v>
      </c>
      <c r="U14" s="1242"/>
      <c r="V14" s="1242"/>
      <c r="W14" s="1242"/>
      <c r="X14" s="1242"/>
      <c r="Y14" s="1242"/>
      <c r="Z14" s="1242"/>
      <c r="AA14" s="1242"/>
      <c r="AB14" s="1242"/>
      <c r="AC14" s="1242"/>
      <c r="AD14" s="1242"/>
      <c r="AE14" s="1242"/>
      <c r="AF14" s="1242"/>
      <c r="AG14" s="1242"/>
      <c r="AH14" s="1242"/>
      <c r="AI14" s="1242"/>
      <c r="AJ14" s="1242"/>
      <c r="AK14" s="1242"/>
      <c r="AL14" s="1242"/>
      <c r="AM14" s="1242"/>
      <c r="AO14" s="706"/>
      <c r="AP14" s="706" t="str">
        <f t="shared" si="0"/>
        <v>Добавить централизованную систему для дифференциации</v>
      </c>
      <c r="AQ14" s="706"/>
      <c r="AR14" s="706"/>
    </row>
    <row r="15" spans="1:44" s="1930" customFormat="1" ht="0.75" hidden="1" customHeight="1">
      <c r="A15" s="1232"/>
      <c r="B15" s="1232"/>
      <c r="C15" s="1232"/>
      <c r="D15" s="1232"/>
      <c r="E15" s="2270"/>
      <c r="F15" s="1232"/>
      <c r="G15" s="1232"/>
      <c r="H15" s="1232"/>
      <c r="I15" s="1232"/>
      <c r="J15" s="1232"/>
      <c r="K15" s="1232"/>
      <c r="L15" s="1256"/>
      <c r="M15" s="1239"/>
      <c r="N15" s="1239"/>
      <c r="P15" s="1234"/>
      <c r="Q15" s="1235"/>
      <c r="R15" s="1234"/>
      <c r="S15" s="1240"/>
      <c r="T15" s="1243" t="s">
        <v>216</v>
      </c>
      <c r="U15" s="1242"/>
      <c r="V15" s="1242"/>
      <c r="W15" s="1242"/>
      <c r="X15" s="1242"/>
      <c r="Y15" s="1242"/>
      <c r="Z15" s="1242"/>
      <c r="AA15" s="1242"/>
      <c r="AB15" s="1242"/>
      <c r="AC15" s="1242"/>
      <c r="AD15" s="1242"/>
      <c r="AE15" s="1242"/>
      <c r="AF15" s="1242"/>
      <c r="AG15" s="1242"/>
      <c r="AH15" s="1242"/>
      <c r="AI15" s="1242"/>
      <c r="AJ15" s="1242"/>
      <c r="AK15" s="1242"/>
      <c r="AL15" s="1242"/>
      <c r="AM15" s="1242"/>
      <c r="AO15" s="706"/>
      <c r="AP15" s="706" t="str">
        <f t="shared" si="0"/>
        <v>Добавить территорию для дифференциации</v>
      </c>
      <c r="AQ15" s="706"/>
      <c r="AR15" s="706"/>
    </row>
    <row r="16" spans="1:44" ht="14.25" hidden="1" customHeight="1">
      <c r="AC16" s="253"/>
      <c r="AK16" s="253"/>
    </row>
    <row r="17" spans="1:44" ht="14.25" hidden="1" customHeight="1">
      <c r="AD17" s="1276"/>
      <c r="AE17" s="1276"/>
      <c r="AF17" s="1276"/>
      <c r="AG17" s="1277"/>
      <c r="AH17" s="2275"/>
      <c r="AI17" s="2276" t="s">
        <v>61</v>
      </c>
      <c r="AJ17" s="2275"/>
      <c r="AK17" s="2276" t="s">
        <v>61</v>
      </c>
    </row>
    <row r="18" spans="1:44" ht="14.25" hidden="1" customHeight="1">
      <c r="AD18" s="1276"/>
      <c r="AE18" s="1276"/>
      <c r="AF18" s="1276"/>
      <c r="AG18" s="254" t="str">
        <f>AH17&amp;"-"&amp;AJ17</f>
        <v>-</v>
      </c>
      <c r="AH18" s="2276"/>
      <c r="AI18" s="2276"/>
      <c r="AJ18" s="2276"/>
      <c r="AK18" s="2276"/>
    </row>
    <row r="19" spans="1:44" ht="14.25" hidden="1" customHeight="1">
      <c r="AK19" s="253"/>
    </row>
    <row r="20" spans="1:44" s="1931" customFormat="1" ht="22.5" hidden="1" customHeight="1">
      <c r="L20" s="1246"/>
      <c r="M20" s="1278"/>
      <c r="N20" s="1278"/>
      <c r="O20" s="1283" t="s">
        <v>406</v>
      </c>
      <c r="P20" s="1278"/>
      <c r="Q20" s="1287"/>
      <c r="R20" s="1287"/>
      <c r="S20" s="648"/>
      <c r="Z20" s="1283"/>
      <c r="AB20" s="1283"/>
      <c r="AC20" s="1282"/>
      <c r="AH20" s="1283"/>
      <c r="AJ20" s="1283"/>
      <c r="AK20" s="1282"/>
      <c r="AN20" s="437"/>
      <c r="AO20" s="437"/>
      <c r="AP20" s="437"/>
      <c r="AQ20" s="437"/>
      <c r="AR20" s="437"/>
    </row>
    <row r="21" spans="1:44" s="1931" customFormat="1" ht="14.25" hidden="1" customHeight="1">
      <c r="L21" s="1246"/>
      <c r="M21" s="1278"/>
      <c r="N21" s="1278"/>
      <c r="O21" s="1278"/>
      <c r="P21" s="1278"/>
      <c r="Q21" s="1287"/>
      <c r="R21" s="1287"/>
      <c r="S21" s="648"/>
      <c r="AC21" s="1282"/>
      <c r="AK21" s="1282"/>
      <c r="AN21" s="437"/>
      <c r="AO21" s="437"/>
      <c r="AP21" s="437"/>
      <c r="AQ21" s="437"/>
      <c r="AR21" s="437"/>
    </row>
    <row r="22" spans="1:44" s="1931" customFormat="1" ht="14.25" hidden="1" customHeight="1">
      <c r="L22" s="1246"/>
      <c r="M22" s="1278"/>
      <c r="N22" s="1278"/>
      <c r="O22" s="1280" t="s">
        <v>407</v>
      </c>
      <c r="P22" s="1278"/>
      <c r="Q22" s="1287"/>
      <c r="R22" s="1287"/>
      <c r="S22" s="648"/>
      <c r="T22" s="1060" t="s">
        <v>408</v>
      </c>
      <c r="AA22" s="107" t="s">
        <v>409</v>
      </c>
      <c r="AC22" s="107" t="s">
        <v>410</v>
      </c>
      <c r="AD22" s="1060" t="s">
        <v>408</v>
      </c>
      <c r="AI22" s="107" t="s">
        <v>411</v>
      </c>
      <c r="AK22" s="107" t="s">
        <v>410</v>
      </c>
      <c r="AN22" s="437"/>
      <c r="AO22" s="437"/>
      <c r="AP22" s="437"/>
      <c r="AQ22" s="437"/>
      <c r="AR22" s="437"/>
    </row>
    <row r="23" spans="1:44" ht="14.25" hidden="1" customHeight="1">
      <c r="O23" s="1280"/>
    </row>
    <row r="24" spans="1:44" ht="14.25" hidden="1" customHeight="1">
      <c r="O24" s="1280"/>
    </row>
    <row r="25" spans="1:44" ht="14.25" customHeight="1">
      <c r="Q25" s="305"/>
      <c r="R25" s="305"/>
      <c r="S25" s="1195"/>
      <c r="T25" s="290"/>
      <c r="U25" s="290"/>
      <c r="V25" s="435"/>
      <c r="W25" s="435"/>
      <c r="X25" s="435"/>
      <c r="Y25" s="435"/>
      <c r="Z25" s="435"/>
      <c r="AA25" s="435"/>
      <c r="AB25" s="435"/>
      <c r="AC25" s="435"/>
      <c r="AD25" s="435"/>
      <c r="AE25" s="435"/>
      <c r="AF25" s="435"/>
      <c r="AG25" s="435"/>
      <c r="AH25" s="435"/>
      <c r="AI25" s="435"/>
      <c r="AJ25" s="435"/>
      <c r="AK25" s="435"/>
    </row>
    <row r="26" spans="1:44" ht="51" customHeight="1">
      <c r="Q26" s="305"/>
      <c r="R26" s="305"/>
      <c r="S26" s="225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152"/>
    </row>
    <row r="27" spans="1:44" ht="14.25" customHeight="1">
      <c r="Q27" s="305"/>
      <c r="R27" s="305"/>
      <c r="S27" s="2200" t="str">
        <f>IF(org=0,"Не определено",org)</f>
        <v>ПАО "Юнипро"</v>
      </c>
      <c r="T27" s="2200"/>
      <c r="U27" s="2200"/>
      <c r="V27" s="2200"/>
      <c r="W27" s="2200"/>
      <c r="X27" s="2200"/>
      <c r="Y27" s="2200"/>
      <c r="Z27" s="2200"/>
      <c r="AA27" s="2200"/>
      <c r="AB27" s="2200"/>
      <c r="AC27" s="2200"/>
      <c r="AD27" s="2200"/>
      <c r="AE27" s="2200"/>
      <c r="AF27" s="2200"/>
      <c r="AG27" s="2200"/>
      <c r="AH27" s="2200"/>
      <c r="AI27" s="2200"/>
      <c r="AJ27" s="2200"/>
      <c r="AK27" s="1152"/>
    </row>
    <row r="28" spans="1:44" ht="14.25" customHeight="1">
      <c r="Q28" s="305"/>
      <c r="R28" s="305"/>
      <c r="S28" s="1195"/>
      <c r="T28" s="290"/>
      <c r="U28" s="290"/>
      <c r="V28" s="246"/>
      <c r="W28" s="246"/>
      <c r="X28" s="246"/>
      <c r="Y28" s="246"/>
      <c r="Z28" s="246"/>
      <c r="AA28" s="246"/>
      <c r="AB28" s="246"/>
      <c r="AC28" s="246"/>
      <c r="AD28" s="246"/>
      <c r="AE28" s="246"/>
      <c r="AF28" s="246"/>
      <c r="AG28" s="246"/>
      <c r="AH28" s="246"/>
      <c r="AI28" s="246"/>
      <c r="AJ28" s="246"/>
      <c r="AK28" s="246"/>
      <c r="AL28" s="435"/>
    </row>
    <row r="29" spans="1:44" s="1936" customFormat="1" ht="25.5" customHeight="1">
      <c r="A29" s="1284"/>
      <c r="B29" s="1284"/>
      <c r="C29" s="1284"/>
      <c r="D29" s="1284"/>
      <c r="E29" s="1284"/>
      <c r="F29" s="1284"/>
      <c r="G29" s="1284"/>
      <c r="H29" s="1284"/>
      <c r="I29" s="1284"/>
      <c r="J29" s="1284"/>
      <c r="K29" s="1284"/>
      <c r="L29" s="1285"/>
      <c r="M29" s="1284"/>
      <c r="N29" s="1284"/>
      <c r="O29" s="1284"/>
      <c r="S29" s="2262" t="s">
        <v>38</v>
      </c>
      <c r="T29" s="2262"/>
      <c r="U29" s="1288"/>
      <c r="V29" s="2263" t="str">
        <f>IF(TITLE_NAME_OR_PR_CHANGE="",IF(TITLE_NAME_OR_PR="","",TITLE_NAME_OR_PR),TITLE_NAME_OR_PR_CHANGE)</f>
        <v>Министерство тарифной политики Красноярского края</v>
      </c>
      <c r="W29" s="2263"/>
      <c r="X29" s="2263"/>
      <c r="Y29" s="2263"/>
      <c r="Z29" s="2263"/>
      <c r="AA29" s="2263"/>
      <c r="AB29" s="2263"/>
      <c r="AC29" s="252"/>
      <c r="AD29" s="2263" t="str">
        <f>IF(TITLE_NAME_OR_PR_CHANGE="",IF(TITLE_NAME_OR_PR="","",TITLE_NAME_OR_PR),TITLE_NAME_OR_PR_CHANGE)</f>
        <v>Министерство тарифной политики Красноярского края</v>
      </c>
      <c r="AE29" s="2263"/>
      <c r="AF29" s="2263"/>
      <c r="AG29" s="2263"/>
      <c r="AH29" s="2263"/>
      <c r="AI29" s="2263"/>
      <c r="AJ29" s="2263"/>
      <c r="AK29" s="252"/>
      <c r="AL29" s="252"/>
      <c r="AM29" s="199"/>
      <c r="AN29" s="296"/>
      <c r="AO29" s="296"/>
      <c r="AP29" s="296"/>
      <c r="AQ29" s="296"/>
      <c r="AR29" s="296"/>
    </row>
    <row r="30" spans="1:44" s="1936" customFormat="1" ht="18.75" customHeight="1">
      <c r="A30" s="1284"/>
      <c r="B30" s="1284"/>
      <c r="C30" s="1284"/>
      <c r="D30" s="1284"/>
      <c r="E30" s="1284"/>
      <c r="F30" s="1284"/>
      <c r="G30" s="1284"/>
      <c r="H30" s="1284"/>
      <c r="I30" s="1284"/>
      <c r="J30" s="1284"/>
      <c r="K30" s="1284"/>
      <c r="L30" s="1285"/>
      <c r="M30" s="1284"/>
      <c r="N30" s="1284"/>
      <c r="O30" s="1284"/>
      <c r="S30" s="2262" t="s">
        <v>412</v>
      </c>
      <c r="T30" s="2262"/>
      <c r="U30" s="1288"/>
      <c r="V30" s="2272">
        <f>IF(TITLE_DATE_PR_CHANGE="",IF(TITLE_DATE_PR="","",TITLE_DATE_PR),TITLE_DATE_PR_CHANGE)</f>
        <v>45278.357847222222</v>
      </c>
      <c r="W30" s="2272"/>
      <c r="X30" s="2272"/>
      <c r="Y30" s="2272"/>
      <c r="Z30" s="2272"/>
      <c r="AA30" s="2272"/>
      <c r="AB30" s="2272"/>
      <c r="AC30" s="252"/>
      <c r="AD30" s="2272">
        <f>IF(TITLE_DATE_PR_CHANGE="",IF(TITLE_DATE_PR="","",TITLE_DATE_PR),TITLE_DATE_PR_CHANGE)</f>
        <v>45278.357847222222</v>
      </c>
      <c r="AE30" s="2272"/>
      <c r="AF30" s="2272"/>
      <c r="AG30" s="2272"/>
      <c r="AH30" s="2272"/>
      <c r="AI30" s="2272"/>
      <c r="AJ30" s="2272"/>
      <c r="AK30" s="252"/>
      <c r="AL30" s="252"/>
      <c r="AM30" s="199"/>
      <c r="AN30" s="296"/>
      <c r="AO30" s="296"/>
      <c r="AP30" s="296"/>
      <c r="AQ30" s="296"/>
      <c r="AR30" s="296"/>
    </row>
    <row r="31" spans="1:44" s="1936" customFormat="1" ht="18.75" customHeight="1">
      <c r="A31" s="1284"/>
      <c r="B31" s="1284"/>
      <c r="C31" s="1284"/>
      <c r="D31" s="1284"/>
      <c r="E31" s="1284"/>
      <c r="F31" s="1284"/>
      <c r="G31" s="1284"/>
      <c r="H31" s="1284"/>
      <c r="I31" s="1284"/>
      <c r="J31" s="1284"/>
      <c r="K31" s="1284"/>
      <c r="L31" s="1285"/>
      <c r="M31" s="1284"/>
      <c r="N31" s="1284"/>
      <c r="O31" s="1284"/>
      <c r="S31" s="2262" t="s">
        <v>413</v>
      </c>
      <c r="T31" s="2262"/>
      <c r="U31" s="1288"/>
      <c r="V31" s="2263" t="str">
        <f>IF(TITLE_NUMBER_PR_CHANGE="",IF(TITLE_NUMBER_PR="","",TITLE_NUMBER_PR),TITLE_NUMBER_PR_CHANGE)</f>
        <v>924-в</v>
      </c>
      <c r="W31" s="2263"/>
      <c r="X31" s="2263"/>
      <c r="Y31" s="2263"/>
      <c r="Z31" s="2263"/>
      <c r="AA31" s="2263"/>
      <c r="AB31" s="2263"/>
      <c r="AC31" s="252"/>
      <c r="AD31" s="2263" t="str">
        <f>IF(TITLE_NUMBER_PR_CHANGE="",IF(TITLE_NUMBER_PR="","",TITLE_NUMBER_PR),TITLE_NUMBER_PR_CHANGE)</f>
        <v>924-в</v>
      </c>
      <c r="AE31" s="2263"/>
      <c r="AF31" s="2263"/>
      <c r="AG31" s="2263"/>
      <c r="AH31" s="2263"/>
      <c r="AI31" s="2263"/>
      <c r="AJ31" s="2263"/>
      <c r="AK31" s="252"/>
      <c r="AL31" s="252"/>
      <c r="AM31" s="199"/>
      <c r="AN31" s="296"/>
      <c r="AO31" s="296"/>
      <c r="AP31" s="296"/>
      <c r="AQ31" s="296"/>
      <c r="AR31" s="296"/>
    </row>
    <row r="32" spans="1:44" s="1936" customFormat="1" ht="18.75" customHeight="1">
      <c r="A32" s="1284"/>
      <c r="B32" s="1284"/>
      <c r="C32" s="1284"/>
      <c r="D32" s="1284"/>
      <c r="E32" s="1284"/>
      <c r="F32" s="1284"/>
      <c r="G32" s="1284"/>
      <c r="H32" s="1284"/>
      <c r="I32" s="1284"/>
      <c r="J32" s="1284"/>
      <c r="K32" s="1284"/>
      <c r="L32" s="1285"/>
      <c r="M32" s="1284"/>
      <c r="N32" s="1284"/>
      <c r="O32" s="1284"/>
      <c r="S32" s="2262" t="s">
        <v>40</v>
      </c>
      <c r="T32" s="2262"/>
      <c r="U32" s="1288"/>
      <c r="V32" s="2263" t="str">
        <f>IF(TITLE_IST_PUB_CHANGE="",IF(TITLE_IST_PUB="","",TITLE_IST_PUB),TITLE_IST_PUB_CHANGE)</f>
        <v>Официальный интернет-портал правовой информации Красноярского края (http://www.zakon.krskstate.ru/)</v>
      </c>
      <c r="W32" s="2263"/>
      <c r="X32" s="2263"/>
      <c r="Y32" s="2263"/>
      <c r="Z32" s="2263"/>
      <c r="AA32" s="2263"/>
      <c r="AB32" s="2263"/>
      <c r="AC32" s="252"/>
      <c r="AD32" s="2263" t="str">
        <f>IF(TITLE_IST_PUB_CHANGE="",IF(TITLE_IST_PUB="","",TITLE_IST_PUB),TITLE_IST_PUB_CHANGE)</f>
        <v>Официальный интернет-портал правовой информации Красноярского края (http://www.zakon.krskstate.ru/)</v>
      </c>
      <c r="AE32" s="2263"/>
      <c r="AF32" s="2263"/>
      <c r="AG32" s="2263"/>
      <c r="AH32" s="2263"/>
      <c r="AI32" s="2263"/>
      <c r="AJ32" s="2263"/>
      <c r="AK32" s="252"/>
      <c r="AL32" s="252"/>
      <c r="AM32" s="199"/>
      <c r="AN32" s="296"/>
      <c r="AO32" s="296"/>
      <c r="AP32" s="296"/>
      <c r="AQ32" s="296"/>
      <c r="AR32" s="296"/>
    </row>
    <row r="33" spans="1:44" ht="14.25" hidden="1" customHeight="1">
      <c r="Q33" s="305"/>
      <c r="R33" s="305"/>
      <c r="S33" s="1195"/>
      <c r="T33" s="290"/>
      <c r="U33" s="290"/>
      <c r="V33" s="246"/>
      <c r="W33" s="246"/>
      <c r="X33" s="246"/>
      <c r="Y33" s="246"/>
      <c r="Z33" s="246"/>
      <c r="AA33" s="246"/>
      <c r="AB33" s="246"/>
      <c r="AC33" s="246"/>
      <c r="AD33" s="246"/>
      <c r="AE33" s="246"/>
      <c r="AF33" s="246"/>
      <c r="AG33" s="246"/>
      <c r="AH33" s="246"/>
      <c r="AI33" s="246"/>
      <c r="AJ33" s="246"/>
      <c r="AK33" s="246"/>
      <c r="AL33" s="435"/>
    </row>
    <row r="34" spans="1:44" s="1936" customFormat="1" ht="18.75" hidden="1" customHeight="1">
      <c r="A34" s="1284"/>
      <c r="B34" s="1284"/>
      <c r="C34" s="1284"/>
      <c r="D34" s="1284"/>
      <c r="E34" s="1284"/>
      <c r="F34" s="1284"/>
      <c r="G34" s="1284"/>
      <c r="H34" s="1284"/>
      <c r="I34" s="1284"/>
      <c r="J34" s="1284"/>
      <c r="K34" s="1284"/>
      <c r="L34" s="1285"/>
      <c r="M34" s="1284"/>
      <c r="N34" s="1284"/>
      <c r="O34" s="1284"/>
      <c r="S34" s="2262" t="s">
        <v>414</v>
      </c>
      <c r="T34" s="2262"/>
      <c r="U34" s="1288"/>
      <c r="V34" s="2272">
        <f>IF(TITLE_DATE_PR_CHANGE="",IF(TITLE_DATE_PR="","",TITLE_DATE_PR),TITLE_DATE_PR_CHANGE)</f>
        <v>45278.357847222222</v>
      </c>
      <c r="W34" s="2272"/>
      <c r="X34" s="2272"/>
      <c r="Y34" s="2272"/>
      <c r="Z34" s="2272"/>
      <c r="AA34" s="2272"/>
      <c r="AB34" s="2272"/>
      <c r="AC34" s="252"/>
      <c r="AD34" s="2272">
        <f>IF(TITLE_DATE_PR_CHANGE="",IF(TITLE_DATE_PR="","",TITLE_DATE_PR),TITLE_DATE_PR_CHANGE)</f>
        <v>45278.357847222222</v>
      </c>
      <c r="AE34" s="2272"/>
      <c r="AF34" s="2272"/>
      <c r="AG34" s="2272"/>
      <c r="AH34" s="2272"/>
      <c r="AI34" s="2272"/>
      <c r="AJ34" s="2272"/>
      <c r="AK34" s="252"/>
      <c r="AL34" s="252"/>
      <c r="AM34" s="199"/>
      <c r="AN34" s="296"/>
      <c r="AO34" s="296"/>
      <c r="AP34" s="296"/>
      <c r="AQ34" s="296"/>
      <c r="AR34" s="296"/>
    </row>
    <row r="35" spans="1:44" s="1936" customFormat="1" ht="18.75" hidden="1" customHeight="1">
      <c r="A35" s="1284"/>
      <c r="B35" s="1284"/>
      <c r="C35" s="1284"/>
      <c r="D35" s="1284"/>
      <c r="E35" s="1284"/>
      <c r="F35" s="1284"/>
      <c r="G35" s="1284"/>
      <c r="H35" s="1284"/>
      <c r="I35" s="1284"/>
      <c r="J35" s="1284"/>
      <c r="K35" s="1284"/>
      <c r="L35" s="1285"/>
      <c r="M35" s="1284"/>
      <c r="N35" s="1284"/>
      <c r="O35" s="1284"/>
      <c r="S35" s="2262" t="s">
        <v>415</v>
      </c>
      <c r="T35" s="2262"/>
      <c r="U35" s="1288"/>
      <c r="V35" s="2263" t="str">
        <f>IF(TITLE_NUMBER_PR_CHANGE="",IF(TITLE_NUMBER_PR="","",TITLE_NUMBER_PR),TITLE_NUMBER_PR_CHANGE)</f>
        <v>924-в</v>
      </c>
      <c r="W35" s="2263"/>
      <c r="X35" s="2263"/>
      <c r="Y35" s="2263"/>
      <c r="Z35" s="2263"/>
      <c r="AA35" s="2263"/>
      <c r="AB35" s="2263"/>
      <c r="AC35" s="252"/>
      <c r="AD35" s="2263" t="str">
        <f>IF(TITLE_NUMBER_PR_CHANGE="",IF(TITLE_NUMBER_PR="","",TITLE_NUMBER_PR),TITLE_NUMBER_PR_CHANGE)</f>
        <v>924-в</v>
      </c>
      <c r="AE35" s="2263"/>
      <c r="AF35" s="2263"/>
      <c r="AG35" s="2263"/>
      <c r="AH35" s="2263"/>
      <c r="AI35" s="2263"/>
      <c r="AJ35" s="2263"/>
      <c r="AK35" s="252"/>
      <c r="AL35" s="252"/>
      <c r="AM35" s="199"/>
      <c r="AN35" s="296"/>
      <c r="AO35" s="296"/>
      <c r="AP35" s="296"/>
      <c r="AQ35" s="296"/>
      <c r="AR35" s="296"/>
    </row>
    <row r="36" spans="1:44" s="1936" customFormat="1" ht="0" hidden="1" customHeight="1">
      <c r="A36" s="1284"/>
      <c r="B36" s="1284"/>
      <c r="C36" s="1284"/>
      <c r="D36" s="1284"/>
      <c r="E36" s="1284"/>
      <c r="F36" s="1284"/>
      <c r="G36" s="1284"/>
      <c r="H36" s="1284"/>
      <c r="I36" s="1284"/>
      <c r="J36" s="1284"/>
      <c r="K36" s="1284"/>
      <c r="L36" s="1285"/>
      <c r="M36" s="1284"/>
      <c r="N36" s="1284"/>
      <c r="O36" s="1284"/>
      <c r="S36" s="248"/>
      <c r="T36" s="248"/>
      <c r="U36" s="1257"/>
      <c r="V36" s="252"/>
      <c r="W36" s="252"/>
      <c r="X36" s="252"/>
      <c r="Y36" s="252"/>
      <c r="Z36" s="252"/>
      <c r="AA36" s="252"/>
      <c r="AB36" s="252"/>
      <c r="AC36" s="197" t="s">
        <v>416</v>
      </c>
      <c r="AD36" s="252"/>
      <c r="AE36" s="252"/>
      <c r="AF36" s="252"/>
      <c r="AG36" s="252"/>
      <c r="AH36" s="252"/>
      <c r="AI36" s="252"/>
      <c r="AJ36" s="252"/>
      <c r="AK36" s="197" t="s">
        <v>416</v>
      </c>
      <c r="AN36" s="296"/>
      <c r="AO36" s="296"/>
      <c r="AP36" s="296"/>
      <c r="AQ36" s="296"/>
      <c r="AR36" s="296"/>
    </row>
    <row r="37" spans="1:44" ht="14.25" customHeight="1">
      <c r="Q37" s="305"/>
      <c r="R37" s="305"/>
      <c r="S37" s="1195"/>
      <c r="T37" s="290"/>
      <c r="U37" s="1153"/>
      <c r="V37" s="2264"/>
      <c r="W37" s="2264"/>
      <c r="X37" s="2264"/>
      <c r="Y37" s="2264"/>
      <c r="Z37" s="2264"/>
      <c r="AA37" s="2264"/>
      <c r="AB37" s="2264"/>
      <c r="AC37" s="2264"/>
      <c r="AD37" s="2264"/>
      <c r="AE37" s="2264"/>
      <c r="AF37" s="2264"/>
      <c r="AG37" s="2264"/>
      <c r="AH37" s="2264"/>
      <c r="AI37" s="2264"/>
      <c r="AJ37" s="2264"/>
      <c r="AK37" s="2264"/>
    </row>
    <row r="38" spans="1:44" ht="14.25" customHeight="1">
      <c r="Q38" s="305"/>
      <c r="R38" s="305"/>
      <c r="S38" s="2143" t="s">
        <v>289</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290</v>
      </c>
    </row>
    <row r="39" spans="1:44" ht="14.25" customHeight="1">
      <c r="Q39" s="305"/>
      <c r="R39" s="305"/>
      <c r="S39" s="2278" t="s">
        <v>87</v>
      </c>
      <c r="T39" s="2229" t="s">
        <v>417</v>
      </c>
      <c r="U39" s="219"/>
      <c r="V39" s="2279" t="s">
        <v>418</v>
      </c>
      <c r="W39" s="2280"/>
      <c r="X39" s="2280"/>
      <c r="Y39" s="2280"/>
      <c r="Z39" s="2280"/>
      <c r="AA39" s="2280"/>
      <c r="AB39" s="2281"/>
      <c r="AC39" s="2282" t="s">
        <v>419</v>
      </c>
      <c r="AD39" s="2279" t="s">
        <v>418</v>
      </c>
      <c r="AE39" s="2280"/>
      <c r="AF39" s="2280"/>
      <c r="AG39" s="2280"/>
      <c r="AH39" s="2280"/>
      <c r="AI39" s="2280"/>
      <c r="AJ39" s="2281"/>
      <c r="AK39" s="2282" t="s">
        <v>420</v>
      </c>
      <c r="AL39" s="2285" t="s">
        <v>421</v>
      </c>
      <c r="AM39" s="2143"/>
    </row>
    <row r="40" spans="1:44" ht="33.75" customHeight="1">
      <c r="Q40" s="305"/>
      <c r="R40" s="305"/>
      <c r="S40" s="2278"/>
      <c r="T40" s="2229"/>
      <c r="U40" s="938"/>
      <c r="V40" s="2199" t="s">
        <v>422</v>
      </c>
      <c r="W40" s="2288"/>
      <c r="X40" s="2115" t="s">
        <v>424</v>
      </c>
      <c r="Y40" s="2114"/>
      <c r="Z40" s="2115" t="s">
        <v>425</v>
      </c>
      <c r="AA40" s="2120"/>
      <c r="AB40" s="2114"/>
      <c r="AC40" s="2283"/>
      <c r="AD40" s="2199" t="s">
        <v>422</v>
      </c>
      <c r="AE40" s="2288"/>
      <c r="AF40" s="2115" t="s">
        <v>424</v>
      </c>
      <c r="AG40" s="2114"/>
      <c r="AH40" s="2115" t="s">
        <v>425</v>
      </c>
      <c r="AI40" s="2120"/>
      <c r="AJ40" s="2114"/>
      <c r="AK40" s="2283"/>
      <c r="AL40" s="2286"/>
      <c r="AM40" s="2143"/>
    </row>
    <row r="41" spans="1:44" ht="33.75" customHeight="1">
      <c r="A41" s="1286"/>
      <c r="B41" s="1286" t="s">
        <v>134</v>
      </c>
      <c r="C41" s="1286" t="s">
        <v>135</v>
      </c>
      <c r="D41" s="1286" t="s">
        <v>136</v>
      </c>
      <c r="E41" s="1280" t="s">
        <v>426</v>
      </c>
      <c r="F41" s="1280" t="s">
        <v>427</v>
      </c>
      <c r="G41" s="1280" t="s">
        <v>428</v>
      </c>
      <c r="H41" s="1280" t="s">
        <v>429</v>
      </c>
      <c r="I41" s="1280" t="s">
        <v>430</v>
      </c>
      <c r="J41" s="1280" t="s">
        <v>431</v>
      </c>
      <c r="K41" s="1280" t="s">
        <v>432</v>
      </c>
      <c r="L41" s="1280" t="s">
        <v>407</v>
      </c>
      <c r="Q41" s="305"/>
      <c r="R41" s="305"/>
      <c r="S41" s="2278"/>
      <c r="T41" s="2229"/>
      <c r="U41" s="220"/>
      <c r="V41" s="2249"/>
      <c r="W41" s="2289"/>
      <c r="X41" s="1128" t="s">
        <v>433</v>
      </c>
      <c r="Y41" s="1128" t="s">
        <v>434</v>
      </c>
      <c r="Z41" s="1255" t="s">
        <v>435</v>
      </c>
      <c r="AA41" s="2238" t="s">
        <v>436</v>
      </c>
      <c r="AB41" s="2240"/>
      <c r="AC41" s="2284"/>
      <c r="AD41" s="2249"/>
      <c r="AE41" s="2289"/>
      <c r="AF41" s="1128" t="s">
        <v>433</v>
      </c>
      <c r="AG41" s="1128" t="s">
        <v>434</v>
      </c>
      <c r="AH41" s="1255" t="s">
        <v>435</v>
      </c>
      <c r="AI41" s="2238" t="s">
        <v>436</v>
      </c>
      <c r="AJ41" s="2240"/>
      <c r="AK41" s="2284"/>
      <c r="AL41" s="2287"/>
      <c r="AM41" s="2143"/>
    </row>
    <row r="42" spans="1:44" s="1819" customFormat="1" ht="11.25" hidden="1" customHeight="1">
      <c r="A42" s="1286"/>
      <c r="B42" s="1286"/>
      <c r="C42" s="1286"/>
      <c r="D42" s="1286"/>
      <c r="E42" s="1286"/>
      <c r="F42" s="1286"/>
      <c r="G42" s="1286"/>
      <c r="H42" s="1286"/>
      <c r="I42" s="1286"/>
      <c r="J42" s="1286"/>
      <c r="K42" s="1286"/>
      <c r="L42" s="1280"/>
      <c r="M42" s="1278"/>
      <c r="N42" s="1278"/>
      <c r="O42" s="1278"/>
      <c r="P42" s="1155"/>
      <c r="Q42" s="1156"/>
      <c r="R42" s="1171">
        <v>1</v>
      </c>
      <c r="S42" s="1197" t="s">
        <v>108</v>
      </c>
      <c r="T42" s="1172" t="s">
        <v>109</v>
      </c>
      <c r="U42" s="1154" t="str">
        <f ca="1">OFFSET(U42,0,-1)</f>
        <v>2</v>
      </c>
      <c r="V42" s="1252">
        <f ca="1">OFFSET(V42,0,-1)+1</f>
        <v>3</v>
      </c>
      <c r="W42" s="1252"/>
      <c r="X42" s="1252">
        <f ca="1">OFFSET(X42,0,-1)+1</f>
        <v>1</v>
      </c>
      <c r="Y42" s="1252">
        <f ca="1">OFFSET(Y42,0,-1)+1</f>
        <v>2</v>
      </c>
      <c r="Z42" s="1252">
        <f ca="1">OFFSET(Z42,0,-1)+1</f>
        <v>3</v>
      </c>
      <c r="AA42" s="2277">
        <f ca="1">OFFSET(AA42,0,-1)+1</f>
        <v>4</v>
      </c>
      <c r="AB42" s="2277"/>
      <c r="AC42" s="1252">
        <f ca="1">OFFSET(AC42,0,-2)+1</f>
        <v>5</v>
      </c>
      <c r="AD42" s="1252">
        <f ca="1">OFFSET(AD42,0,-1)+1</f>
        <v>6</v>
      </c>
      <c r="AE42" s="1252"/>
      <c r="AF42" s="1252">
        <f ca="1">OFFSET(AF42,0,-1)+1</f>
        <v>1</v>
      </c>
      <c r="AG42" s="1252">
        <f ca="1">OFFSET(AG42,0,-1)+1</f>
        <v>2</v>
      </c>
      <c r="AH42" s="1252">
        <f ca="1">OFFSET(AH42,0,-1)+1</f>
        <v>3</v>
      </c>
      <c r="AI42" s="2277">
        <f ca="1">OFFSET(AI42,0,-1)+1</f>
        <v>4</v>
      </c>
      <c r="AJ42" s="2277"/>
      <c r="AK42" s="1252">
        <f ca="1">OFFSET(AK42,0,-2)+1</f>
        <v>5</v>
      </c>
      <c r="AL42" s="1154">
        <f ca="1">OFFSET(AL42,0,-1)</f>
        <v>5</v>
      </c>
      <c r="AM42" s="1252">
        <f ca="1">OFFSET(AM42,0,-1)+1</f>
        <v>6</v>
      </c>
      <c r="AN42" s="437"/>
      <c r="AO42" s="437"/>
      <c r="AP42" s="437"/>
      <c r="AQ42" s="437"/>
      <c r="AR42" s="437"/>
    </row>
    <row r="43" spans="1:44" ht="21" customHeight="1">
      <c r="A43" s="1279" t="s">
        <v>167</v>
      </c>
      <c r="B43" s="1279"/>
      <c r="C43" s="1279"/>
      <c r="D43" s="1279"/>
      <c r="E43" s="2270">
        <v>1</v>
      </c>
      <c r="F43" s="1279"/>
      <c r="G43" s="1279"/>
      <c r="H43" s="1279"/>
      <c r="I43" s="1279"/>
      <c r="J43" s="1279"/>
      <c r="K43" s="1279"/>
      <c r="L43" s="1280"/>
      <c r="M43" s="1281"/>
      <c r="N43" s="1281"/>
      <c r="O43" s="1281"/>
      <c r="P43" s="286"/>
      <c r="Q43" s="285"/>
      <c r="R43" s="280"/>
      <c r="S43" s="1253">
        <f>INDEX(PT_DIFFERENTIATION_NUM_NTAR,MATCH(A43,PT_DIFFERENTIATION_NTAR_ID,0))</f>
        <v>0</v>
      </c>
      <c r="T43" s="216" t="s">
        <v>122</v>
      </c>
      <c r="U43" s="218"/>
      <c r="V43" s="2256"/>
      <c r="W43" s="2257"/>
      <c r="X43" s="2257"/>
      <c r="Y43" s="2257"/>
      <c r="Z43" s="2257"/>
      <c r="AA43" s="2257"/>
      <c r="AB43" s="2257"/>
      <c r="AC43" s="2258"/>
      <c r="AD43" s="2256" t="str">
        <f>INDEX(PT_DIFFERENTIATION_NTAR,MATCH(A43,PT_DIFFERENTIATION_NTAR_ID,0))</f>
        <v/>
      </c>
      <c r="AE43" s="2257"/>
      <c r="AF43" s="2257"/>
      <c r="AG43" s="2257"/>
      <c r="AH43" s="2257"/>
      <c r="AI43" s="2257"/>
      <c r="AJ43" s="2257"/>
      <c r="AK43" s="2257"/>
      <c r="AL43" s="2258"/>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6"/>
      <c r="AP43" s="426" t="str">
        <f t="shared" ref="AP43:AP57" si="1">IF(T43="","",T43)</f>
        <v>Наименование тарифа</v>
      </c>
      <c r="AQ43" s="426"/>
      <c r="AR43" s="426"/>
    </row>
    <row r="44" spans="1:44" ht="21" customHeight="1">
      <c r="A44" s="1279" t="s">
        <v>167</v>
      </c>
      <c r="B44" s="1279" t="s">
        <v>168</v>
      </c>
      <c r="C44" s="1279"/>
      <c r="D44" s="1279"/>
      <c r="E44" s="2271"/>
      <c r="F44" s="2270">
        <v>1</v>
      </c>
      <c r="G44" s="1279"/>
      <c r="H44" s="1279"/>
      <c r="I44" s="1279"/>
      <c r="J44" s="1279"/>
      <c r="K44" s="1279"/>
      <c r="L44" s="1280"/>
      <c r="M44" s="1281"/>
      <c r="N44" s="1281"/>
      <c r="O44" s="1281"/>
      <c r="P44" s="1249"/>
      <c r="Q44" s="277"/>
      <c r="R44" s="278"/>
      <c r="S44" s="1253" t="str">
        <f>INDEX(PT_DIFFERENTIATION_NUM_TER,MATCH(B44,PT_DIFFERENTIATION_TER_ID,0))</f>
        <v>.</v>
      </c>
      <c r="T44" s="228" t="s">
        <v>388</v>
      </c>
      <c r="U44" s="218"/>
      <c r="V44" s="2256"/>
      <c r="W44" s="2257"/>
      <c r="X44" s="2257"/>
      <c r="Y44" s="2257"/>
      <c r="Z44" s="2257"/>
      <c r="AA44" s="2257"/>
      <c r="AB44" s="2257"/>
      <c r="AC44" s="2258"/>
      <c r="AD44" s="2256" t="str">
        <f>INDEX(PT_DIFFERENTIATION_TER,MATCH(B44,PT_DIFFERENTIATION_TER_ID,0))</f>
        <v/>
      </c>
      <c r="AE44" s="2257"/>
      <c r="AF44" s="2257"/>
      <c r="AG44" s="2257"/>
      <c r="AH44" s="2257"/>
      <c r="AI44" s="2257"/>
      <c r="AJ44" s="2257"/>
      <c r="AK44" s="2257"/>
      <c r="AL44" s="2258"/>
      <c r="AM44" s="1177" t="s">
        <v>389</v>
      </c>
      <c r="AO44" s="426"/>
      <c r="AP44" s="426" t="str">
        <f t="shared" si="1"/>
        <v>Территория действия тарифа</v>
      </c>
      <c r="AQ44" s="426"/>
      <c r="AR44" s="426"/>
    </row>
    <row r="45" spans="1:44" ht="23.25" customHeight="1">
      <c r="A45" s="1279" t="s">
        <v>167</v>
      </c>
      <c r="B45" s="1279" t="s">
        <v>168</v>
      </c>
      <c r="C45" s="1279" t="s">
        <v>169</v>
      </c>
      <c r="D45" s="1279"/>
      <c r="E45" s="2271"/>
      <c r="F45" s="2271"/>
      <c r="G45" s="2270">
        <v>1</v>
      </c>
      <c r="H45" s="1279"/>
      <c r="I45" s="1279"/>
      <c r="J45" s="1279"/>
      <c r="K45" s="1279"/>
      <c r="L45" s="1280"/>
      <c r="M45" s="1281"/>
      <c r="N45" s="1281"/>
      <c r="O45" s="1281"/>
      <c r="P45" s="279"/>
      <c r="Q45" s="277"/>
      <c r="R45" s="278"/>
      <c r="S45" s="1253" t="str">
        <f>INDEX(PT_DIFFERENTIATION_NUM_CS,MATCH(C45,PT_DIFFERENTIATION_CS_ID,0))</f>
        <v>..</v>
      </c>
      <c r="T45" s="229" t="s">
        <v>390</v>
      </c>
      <c r="U45" s="218"/>
      <c r="V45" s="2256"/>
      <c r="W45" s="2257"/>
      <c r="X45" s="2257"/>
      <c r="Y45" s="2257"/>
      <c r="Z45" s="2257"/>
      <c r="AA45" s="2257"/>
      <c r="AB45" s="2257"/>
      <c r="AC45" s="2258"/>
      <c r="AD45" s="2256" t="str">
        <f>INDEX(PT_DIFFERENTIATION_CS,MATCH(C45,PT_DIFFERENTIATION_CS_ID,0))</f>
        <v/>
      </c>
      <c r="AE45" s="2257"/>
      <c r="AF45" s="2257"/>
      <c r="AG45" s="2257"/>
      <c r="AH45" s="2257"/>
      <c r="AI45" s="2257"/>
      <c r="AJ45" s="2257"/>
      <c r="AK45" s="2257"/>
      <c r="AL45" s="2258"/>
      <c r="AM45" s="1177" t="s">
        <v>391</v>
      </c>
      <c r="AO45" s="426"/>
      <c r="AP45" s="426" t="str">
        <f t="shared" si="1"/>
        <v xml:space="preserve">Наименование системы теплоснабжения </v>
      </c>
      <c r="AQ45" s="426"/>
      <c r="AR45" s="426"/>
    </row>
    <row r="46" spans="1:44" ht="21" customHeight="1">
      <c r="A46" s="1279" t="s">
        <v>167</v>
      </c>
      <c r="B46" s="1279" t="s">
        <v>168</v>
      </c>
      <c r="C46" s="1279" t="s">
        <v>169</v>
      </c>
      <c r="D46" s="1279" t="s">
        <v>170</v>
      </c>
      <c r="E46" s="2271"/>
      <c r="F46" s="2271"/>
      <c r="G46" s="2271"/>
      <c r="H46" s="2270">
        <v>1</v>
      </c>
      <c r="I46" s="1279"/>
      <c r="J46" s="1279"/>
      <c r="K46" s="1279"/>
      <c r="L46" s="1280"/>
      <c r="M46" s="1281"/>
      <c r="N46" s="1281"/>
      <c r="O46" s="1281"/>
      <c r="P46" s="279"/>
      <c r="Q46" s="277"/>
      <c r="R46" s="278"/>
      <c r="S46" s="1253" t="str">
        <f>INDEX(PT_DIFFERENTIATION_NUM_IST_TE,MATCH(D46,PT_DIFFERENTIATION_IST_TE_ID,0))</f>
        <v>...</v>
      </c>
      <c r="T46" s="230" t="s">
        <v>392</v>
      </c>
      <c r="U46" s="218"/>
      <c r="V46" s="2256"/>
      <c r="W46" s="2257"/>
      <c r="X46" s="2257"/>
      <c r="Y46" s="2257"/>
      <c r="Z46" s="2257"/>
      <c r="AA46" s="2257"/>
      <c r="AB46" s="2257"/>
      <c r="AC46" s="2258"/>
      <c r="AD46" s="2256" t="str">
        <f>INDEX(PT_DIFFERENTIATION_IST_TE,MATCH(D46,PT_DIFFERENTIATION_IST_TE_ID,0))</f>
        <v/>
      </c>
      <c r="AE46" s="2257"/>
      <c r="AF46" s="2257"/>
      <c r="AG46" s="2257"/>
      <c r="AH46" s="2257"/>
      <c r="AI46" s="2257"/>
      <c r="AJ46" s="2257"/>
      <c r="AK46" s="2257"/>
      <c r="AL46" s="2258"/>
      <c r="AM46" s="1177" t="s">
        <v>393</v>
      </c>
      <c r="AO46" s="426"/>
      <c r="AP46" s="426" t="str">
        <f t="shared" si="1"/>
        <v xml:space="preserve">Источник тепловой энергии  </v>
      </c>
      <c r="AQ46" s="426"/>
      <c r="AR46" s="426"/>
    </row>
    <row r="47" spans="1:44" s="1820" customFormat="1" ht="0" hidden="1" customHeight="1">
      <c r="A47" s="1260" t="s">
        <v>167</v>
      </c>
      <c r="B47" s="1260" t="s">
        <v>168</v>
      </c>
      <c r="C47" s="1260" t="s">
        <v>169</v>
      </c>
      <c r="D47" s="1260" t="s">
        <v>170</v>
      </c>
      <c r="E47" s="2271"/>
      <c r="F47" s="2271"/>
      <c r="G47" s="2271"/>
      <c r="H47" s="2271"/>
      <c r="I47" s="2268" t="str">
        <f>S46&amp;".1"</f>
        <v>....1</v>
      </c>
      <c r="J47" s="1260"/>
      <c r="K47" s="1260"/>
      <c r="L47" s="1263" t="s">
        <v>394</v>
      </c>
      <c r="M47" s="436"/>
      <c r="N47" s="436"/>
      <c r="O47" s="436"/>
      <c r="P47" s="2269">
        <v>1</v>
      </c>
      <c r="Q47" s="1248"/>
      <c r="R47" s="281"/>
      <c r="S47" s="949"/>
      <c r="T47" s="1299"/>
      <c r="U47" s="1300"/>
      <c r="V47" s="2297"/>
      <c r="W47" s="2298"/>
      <c r="X47" s="2298"/>
      <c r="Y47" s="2298"/>
      <c r="Z47" s="2298"/>
      <c r="AA47" s="2298"/>
      <c r="AB47" s="2298"/>
      <c r="AC47" s="2299"/>
      <c r="AD47" s="2297"/>
      <c r="AE47" s="2298"/>
      <c r="AF47" s="2298"/>
      <c r="AG47" s="2298"/>
      <c r="AH47" s="2298"/>
      <c r="AI47" s="2298"/>
      <c r="AJ47" s="2298"/>
      <c r="AK47" s="2298"/>
      <c r="AL47" s="2299"/>
      <c r="AM47" s="1301"/>
      <c r="AO47" s="426"/>
      <c r="AP47" s="426" t="str">
        <f t="shared" si="1"/>
        <v/>
      </c>
      <c r="AQ47" s="426"/>
      <c r="AR47" s="426"/>
    </row>
    <row r="48" spans="1:44" ht="21" customHeight="1">
      <c r="A48" s="1279" t="s">
        <v>167</v>
      </c>
      <c r="B48" s="1279" t="s">
        <v>168</v>
      </c>
      <c r="C48" s="1279" t="s">
        <v>169</v>
      </c>
      <c r="D48" s="1279" t="s">
        <v>170</v>
      </c>
      <c r="E48" s="2271"/>
      <c r="F48" s="2271"/>
      <c r="G48" s="2271"/>
      <c r="H48" s="2271"/>
      <c r="I48" s="2291"/>
      <c r="J48" s="2268" t="str">
        <f>S46&amp;".1"</f>
        <v>....1</v>
      </c>
      <c r="K48" s="1279"/>
      <c r="L48" s="1280" t="s">
        <v>397</v>
      </c>
      <c r="P48" s="2269"/>
      <c r="Q48" s="2269">
        <v>1</v>
      </c>
      <c r="R48" s="282"/>
      <c r="S48" s="1253" t="str">
        <f>$J48</f>
        <v>....1</v>
      </c>
      <c r="T48" s="204" t="s">
        <v>398</v>
      </c>
      <c r="U48" s="218"/>
      <c r="V48" s="2259"/>
      <c r="W48" s="2260"/>
      <c r="X48" s="2260"/>
      <c r="Y48" s="2260"/>
      <c r="Z48" s="2260"/>
      <c r="AA48" s="2260"/>
      <c r="AB48" s="2260"/>
      <c r="AC48" s="2261"/>
      <c r="AD48" s="2259"/>
      <c r="AE48" s="2260"/>
      <c r="AF48" s="2260"/>
      <c r="AG48" s="2260"/>
      <c r="AH48" s="2260"/>
      <c r="AI48" s="2260"/>
      <c r="AJ48" s="2260"/>
      <c r="AK48" s="2260"/>
      <c r="AL48" s="2261"/>
      <c r="AM48" s="1177" t="s">
        <v>399</v>
      </c>
      <c r="AO48" s="426"/>
      <c r="AP48" s="426" t="str">
        <f t="shared" si="1"/>
        <v>Группа потребителей</v>
      </c>
      <c r="AQ48" s="426"/>
      <c r="AR48" s="426"/>
    </row>
    <row r="49" spans="1:44" ht="21" customHeight="1">
      <c r="A49" s="1279" t="s">
        <v>167</v>
      </c>
      <c r="B49" s="1279" t="s">
        <v>168</v>
      </c>
      <c r="C49" s="1279" t="s">
        <v>169</v>
      </c>
      <c r="D49" s="1279" t="s">
        <v>170</v>
      </c>
      <c r="E49" s="2271"/>
      <c r="F49" s="2271"/>
      <c r="G49" s="2271"/>
      <c r="H49" s="2271"/>
      <c r="I49" s="2291"/>
      <c r="J49" s="2291"/>
      <c r="K49" s="2268" t="str">
        <f>J48&amp;".1"</f>
        <v>....1.1</v>
      </c>
      <c r="L49" s="1280" t="s">
        <v>400</v>
      </c>
      <c r="P49" s="2269"/>
      <c r="Q49" s="2269"/>
      <c r="R49" s="282">
        <v>1</v>
      </c>
      <c r="S49" s="1253" t="str">
        <f>$K49</f>
        <v>....1.1</v>
      </c>
      <c r="T49" s="1264"/>
      <c r="U49" s="218"/>
      <c r="V49" s="668"/>
      <c r="W49" s="250"/>
      <c r="X49" s="668"/>
      <c r="Y49" s="1176"/>
      <c r="Z49" s="2273"/>
      <c r="AA49" s="2124" t="s">
        <v>61</v>
      </c>
      <c r="AB49" s="2273"/>
      <c r="AC49" s="2124" t="s">
        <v>61</v>
      </c>
      <c r="AD49" s="668"/>
      <c r="AE49" s="250"/>
      <c r="AF49" s="668"/>
      <c r="AG49" s="1176"/>
      <c r="AH49" s="2273"/>
      <c r="AI49" s="2124" t="s">
        <v>61</v>
      </c>
      <c r="AJ49" s="2292"/>
      <c r="AK49" s="2124" t="s">
        <v>61</v>
      </c>
      <c r="AL49" s="1265"/>
      <c r="AM49" s="2265" t="s">
        <v>438</v>
      </c>
      <c r="AN49" s="437" t="e">
        <f ca="1">STRCHECKDATE(V50:AL50)</f>
        <v>#NAME?</v>
      </c>
      <c r="AO49" s="426"/>
      <c r="AP49" s="426" t="str">
        <f t="shared" si="1"/>
        <v/>
      </c>
      <c r="AQ49" s="426"/>
      <c r="AR49" s="426"/>
    </row>
    <row r="50" spans="1:44" ht="0.75" customHeight="1">
      <c r="A50" s="1279" t="s">
        <v>167</v>
      </c>
      <c r="B50" s="1279" t="s">
        <v>168</v>
      </c>
      <c r="C50" s="1279" t="s">
        <v>169</v>
      </c>
      <c r="D50" s="1279" t="s">
        <v>170</v>
      </c>
      <c r="E50" s="2271"/>
      <c r="F50" s="2271"/>
      <c r="G50" s="2271"/>
      <c r="H50" s="2271"/>
      <c r="I50" s="2291"/>
      <c r="J50" s="2291"/>
      <c r="K50" s="2268"/>
      <c r="L50" s="1280"/>
      <c r="P50" s="2269"/>
      <c r="Q50" s="2269"/>
      <c r="R50" s="282"/>
      <c r="S50" s="1259"/>
      <c r="T50" s="218"/>
      <c r="U50" s="218"/>
      <c r="V50" s="250"/>
      <c r="W50" s="250"/>
      <c r="X50" s="250"/>
      <c r="Y50" s="254" t="str">
        <f>Z49&amp;"-"&amp;AB49</f>
        <v>-</v>
      </c>
      <c r="Z50" s="2274"/>
      <c r="AA50" s="2124"/>
      <c r="AB50" s="2274"/>
      <c r="AC50" s="2124"/>
      <c r="AD50" s="250"/>
      <c r="AE50" s="250"/>
      <c r="AF50" s="250"/>
      <c r="AG50" s="254" t="str">
        <f>AH49&amp;"-"&amp;AJ49</f>
        <v>-</v>
      </c>
      <c r="AH50" s="2274"/>
      <c r="AI50" s="2124"/>
      <c r="AJ50" s="2293"/>
      <c r="AK50" s="2124"/>
      <c r="AL50" s="1266"/>
      <c r="AM50" s="2266"/>
      <c r="AO50" s="426"/>
      <c r="AP50" s="426" t="str">
        <f t="shared" si="1"/>
        <v/>
      </c>
      <c r="AQ50" s="426"/>
      <c r="AR50" s="426"/>
    </row>
    <row r="51" spans="1:44" ht="11.25" customHeight="1">
      <c r="A51" s="1279" t="s">
        <v>167</v>
      </c>
      <c r="B51" s="1279" t="s">
        <v>168</v>
      </c>
      <c r="C51" s="1279" t="s">
        <v>169</v>
      </c>
      <c r="D51" s="1279" t="s">
        <v>170</v>
      </c>
      <c r="E51" s="2271"/>
      <c r="F51" s="2271"/>
      <c r="G51" s="2271"/>
      <c r="H51" s="2271"/>
      <c r="I51" s="2291"/>
      <c r="J51" s="2268"/>
      <c r="K51" s="1279"/>
      <c r="L51" s="1280"/>
      <c r="P51" s="2269"/>
      <c r="Q51" s="2269"/>
      <c r="R51" s="281"/>
      <c r="S51" s="1198"/>
      <c r="T51" s="205" t="s">
        <v>402</v>
      </c>
      <c r="U51" s="295"/>
      <c r="V51" s="295"/>
      <c r="W51" s="295"/>
      <c r="X51" s="295"/>
      <c r="Y51" s="295"/>
      <c r="Z51" s="295"/>
      <c r="AA51" s="295"/>
      <c r="AB51" s="295"/>
      <c r="AC51" s="295"/>
      <c r="AD51" s="295"/>
      <c r="AE51" s="295"/>
      <c r="AF51" s="295"/>
      <c r="AG51" s="295"/>
      <c r="AH51" s="295"/>
      <c r="AI51" s="295"/>
      <c r="AJ51" s="295"/>
      <c r="AK51" s="295"/>
      <c r="AL51" s="249"/>
      <c r="AM51" s="2267"/>
      <c r="AO51" s="426"/>
      <c r="AP51" s="426" t="str">
        <f t="shared" si="1"/>
        <v>Добавить вид теплоносителя (параметры теплоносителя)</v>
      </c>
      <c r="AQ51" s="426"/>
      <c r="AR51" s="426"/>
    </row>
    <row r="52" spans="1:44" ht="11.25" customHeight="1">
      <c r="A52" s="1279" t="s">
        <v>167</v>
      </c>
      <c r="B52" s="1279" t="s">
        <v>168</v>
      </c>
      <c r="C52" s="1279" t="s">
        <v>169</v>
      </c>
      <c r="D52" s="1279" t="s">
        <v>170</v>
      </c>
      <c r="E52" s="2271"/>
      <c r="F52" s="2271"/>
      <c r="G52" s="2271"/>
      <c r="H52" s="2271"/>
      <c r="I52" s="2268"/>
      <c r="J52" s="1279"/>
      <c r="K52" s="1279"/>
      <c r="L52" s="1280"/>
      <c r="P52" s="2269"/>
      <c r="Q52" s="1248"/>
      <c r="R52" s="281"/>
      <c r="S52" s="1198"/>
      <c r="T52" s="292" t="s">
        <v>403</v>
      </c>
      <c r="U52" s="295"/>
      <c r="V52" s="295"/>
      <c r="W52" s="295"/>
      <c r="X52" s="295"/>
      <c r="Y52" s="295"/>
      <c r="Z52" s="295"/>
      <c r="AA52" s="295"/>
      <c r="AB52" s="295"/>
      <c r="AC52" s="294"/>
      <c r="AD52" s="295"/>
      <c r="AE52" s="295"/>
      <c r="AF52" s="295"/>
      <c r="AG52" s="295"/>
      <c r="AH52" s="295"/>
      <c r="AI52" s="295"/>
      <c r="AJ52" s="295"/>
      <c r="AK52" s="294"/>
      <c r="AL52" s="295"/>
      <c r="AM52" s="221"/>
      <c r="AO52" s="426"/>
      <c r="AP52" s="426" t="str">
        <f t="shared" si="1"/>
        <v>Добавить группу потребителей</v>
      </c>
      <c r="AQ52" s="426"/>
      <c r="AR52" s="426"/>
    </row>
    <row r="53" spans="1:44" ht="0" hidden="1" customHeight="1">
      <c r="A53" s="1279" t="s">
        <v>167</v>
      </c>
      <c r="B53" s="1279" t="s">
        <v>168</v>
      </c>
      <c r="C53" s="1279" t="s">
        <v>169</v>
      </c>
      <c r="D53" s="1279" t="s">
        <v>170</v>
      </c>
      <c r="E53" s="2271"/>
      <c r="F53" s="2271"/>
      <c r="G53" s="2271"/>
      <c r="H53" s="2270"/>
      <c r="I53" s="1279"/>
      <c r="J53" s="1279"/>
      <c r="K53" s="1279"/>
      <c r="L53" s="1280"/>
      <c r="M53" s="1281"/>
      <c r="N53" s="1281"/>
      <c r="O53" s="462"/>
      <c r="P53" s="285"/>
      <c r="Q53" s="304"/>
      <c r="R53" s="280"/>
      <c r="S53" s="1302"/>
      <c r="T53" s="1303"/>
      <c r="U53" s="1304"/>
      <c r="V53" s="1304"/>
      <c r="W53" s="1304"/>
      <c r="X53" s="1304"/>
      <c r="Y53" s="1304"/>
      <c r="Z53" s="1304"/>
      <c r="AA53" s="1304"/>
      <c r="AB53" s="1304"/>
      <c r="AC53" s="1304"/>
      <c r="AD53" s="1304"/>
      <c r="AE53" s="1304"/>
      <c r="AF53" s="1304"/>
      <c r="AG53" s="1304"/>
      <c r="AH53" s="1304"/>
      <c r="AI53" s="1304"/>
      <c r="AJ53" s="1304"/>
      <c r="AK53" s="1304"/>
      <c r="AL53" s="1304"/>
      <c r="AM53" s="1305"/>
      <c r="AO53" s="426"/>
      <c r="AP53" s="426" t="str">
        <f t="shared" si="1"/>
        <v/>
      </c>
      <c r="AQ53" s="426"/>
      <c r="AR53" s="426"/>
    </row>
    <row r="54" spans="1:44" s="1930" customFormat="1" ht="0.75" customHeight="1">
      <c r="A54" s="1260" t="s">
        <v>167</v>
      </c>
      <c r="B54" s="1260" t="s">
        <v>168</v>
      </c>
      <c r="C54" s="1260" t="s">
        <v>169</v>
      </c>
      <c r="D54" s="1232"/>
      <c r="E54" s="2271"/>
      <c r="F54" s="2271"/>
      <c r="G54" s="2270"/>
      <c r="H54" s="1232"/>
      <c r="I54" s="1232"/>
      <c r="J54" s="1232"/>
      <c r="K54" s="1232"/>
      <c r="L54" s="1256"/>
      <c r="M54" s="1233"/>
      <c r="N54" s="1233"/>
      <c r="P54" s="1234"/>
      <c r="Q54" s="1235"/>
      <c r="R54" s="1234"/>
      <c r="S54" s="1240"/>
      <c r="T54" s="1243" t="s">
        <v>405</v>
      </c>
      <c r="U54" s="1242"/>
      <c r="V54" s="1242"/>
      <c r="W54" s="1242"/>
      <c r="X54" s="1242"/>
      <c r="Y54" s="1242"/>
      <c r="Z54" s="1242"/>
      <c r="AA54" s="1242"/>
      <c r="AB54" s="1242"/>
      <c r="AC54" s="1242"/>
      <c r="AD54" s="1242"/>
      <c r="AE54" s="1242"/>
      <c r="AF54" s="1242"/>
      <c r="AG54" s="1242"/>
      <c r="AH54" s="1242"/>
      <c r="AI54" s="1242"/>
      <c r="AJ54" s="1242"/>
      <c r="AK54" s="1242"/>
      <c r="AL54" s="1242"/>
      <c r="AM54" s="1242"/>
      <c r="AO54" s="706"/>
      <c r="AP54" s="706" t="str">
        <f t="shared" si="1"/>
        <v>Добавить источник для дифференциации</v>
      </c>
      <c r="AQ54" s="706"/>
      <c r="AR54" s="706"/>
    </row>
    <row r="55" spans="1:44" s="1930" customFormat="1" ht="0.75" customHeight="1">
      <c r="A55" s="1260" t="s">
        <v>167</v>
      </c>
      <c r="B55" s="1260" t="s">
        <v>168</v>
      </c>
      <c r="C55" s="1232"/>
      <c r="D55" s="1232"/>
      <c r="E55" s="2271"/>
      <c r="F55" s="2270"/>
      <c r="G55" s="1232"/>
      <c r="H55" s="1232"/>
      <c r="I55" s="1232"/>
      <c r="J55" s="1232"/>
      <c r="K55" s="1232"/>
      <c r="L55" s="1256"/>
      <c r="M55" s="1239"/>
      <c r="N55" s="1239"/>
      <c r="P55" s="1234"/>
      <c r="Q55" s="1235"/>
      <c r="R55" s="1234"/>
      <c r="S55" s="1240"/>
      <c r="T55" s="1243" t="s">
        <v>215</v>
      </c>
      <c r="U55" s="1242"/>
      <c r="V55" s="1242"/>
      <c r="W55" s="1242"/>
      <c r="X55" s="1242"/>
      <c r="Y55" s="1242"/>
      <c r="Z55" s="1242"/>
      <c r="AA55" s="1242"/>
      <c r="AB55" s="1242"/>
      <c r="AC55" s="1242"/>
      <c r="AD55" s="1242"/>
      <c r="AE55" s="1242"/>
      <c r="AF55" s="1242"/>
      <c r="AG55" s="1242"/>
      <c r="AH55" s="1242"/>
      <c r="AI55" s="1242"/>
      <c r="AJ55" s="1242"/>
      <c r="AK55" s="1242"/>
      <c r="AL55" s="1242"/>
      <c r="AM55" s="1242"/>
      <c r="AO55" s="706"/>
      <c r="AP55" s="706" t="str">
        <f t="shared" si="1"/>
        <v>Добавить централизованную систему для дифференциации</v>
      </c>
      <c r="AQ55" s="706"/>
      <c r="AR55" s="706"/>
    </row>
    <row r="56" spans="1:44" s="1820" customFormat="1" ht="0.75" customHeight="1">
      <c r="A56" s="1260" t="s">
        <v>167</v>
      </c>
      <c r="B56" s="1260"/>
      <c r="C56" s="1260"/>
      <c r="D56" s="1260"/>
      <c r="E56" s="2270"/>
      <c r="F56" s="1260"/>
      <c r="G56" s="1260"/>
      <c r="H56" s="1260"/>
      <c r="I56" s="1260"/>
      <c r="J56" s="1260"/>
      <c r="K56" s="1260"/>
      <c r="L56" s="1263"/>
      <c r="M56" s="1239"/>
      <c r="N56" s="1239"/>
      <c r="O56" s="444"/>
      <c r="P56" s="313"/>
      <c r="Q56" s="1261"/>
      <c r="R56" s="313"/>
      <c r="S56" s="1240"/>
      <c r="T56" s="1243" t="s">
        <v>216</v>
      </c>
      <c r="U56" s="1242"/>
      <c r="V56" s="1242"/>
      <c r="W56" s="1242"/>
      <c r="X56" s="1242"/>
      <c r="Y56" s="1242"/>
      <c r="Z56" s="1242"/>
      <c r="AA56" s="1242"/>
      <c r="AB56" s="1242"/>
      <c r="AC56" s="1242"/>
      <c r="AD56" s="1242"/>
      <c r="AE56" s="1242"/>
      <c r="AF56" s="1242"/>
      <c r="AG56" s="1242"/>
      <c r="AH56" s="1242"/>
      <c r="AI56" s="1242"/>
      <c r="AJ56" s="1242"/>
      <c r="AK56" s="1242"/>
      <c r="AL56" s="1242"/>
      <c r="AM56" s="1242"/>
      <c r="AO56" s="426"/>
      <c r="AP56" s="426" t="str">
        <f t="shared" si="1"/>
        <v>Добавить территорию для дифференциации</v>
      </c>
      <c r="AQ56" s="426"/>
      <c r="AR56" s="426"/>
    </row>
    <row r="57" spans="1:44" s="1930" customFormat="1" ht="0.75" customHeight="1">
      <c r="A57" s="1232"/>
      <c r="B57" s="1232"/>
      <c r="C57" s="1232"/>
      <c r="D57" s="1232"/>
      <c r="E57" s="1260"/>
      <c r="F57" s="1232"/>
      <c r="G57" s="1232"/>
      <c r="H57" s="1232"/>
      <c r="I57" s="1232"/>
      <c r="J57" s="1232"/>
      <c r="K57" s="1232"/>
      <c r="L57" s="1256"/>
      <c r="M57" s="1239"/>
      <c r="N57" s="1239"/>
      <c r="P57" s="1234"/>
      <c r="Q57" s="1235"/>
      <c r="R57" s="1234"/>
      <c r="S57" s="1240"/>
      <c r="T57" s="1243" t="s">
        <v>217</v>
      </c>
      <c r="U57" s="1242"/>
      <c r="V57" s="1242"/>
      <c r="W57" s="1242"/>
      <c r="X57" s="1242"/>
      <c r="Y57" s="1242"/>
      <c r="Z57" s="1242"/>
      <c r="AA57" s="1242"/>
      <c r="AB57" s="1242"/>
      <c r="AC57" s="1242"/>
      <c r="AD57" s="1242"/>
      <c r="AE57" s="1242"/>
      <c r="AF57" s="1242"/>
      <c r="AG57" s="1242"/>
      <c r="AH57" s="1242"/>
      <c r="AI57" s="1242"/>
      <c r="AJ57" s="1242"/>
      <c r="AK57" s="1242"/>
      <c r="AL57" s="1242"/>
      <c r="AM57" s="1242"/>
      <c r="AO57" s="706"/>
      <c r="AP57" s="706" t="str">
        <f t="shared" si="1"/>
        <v>Добавить наименование тарифа</v>
      </c>
      <c r="AQ57" s="706"/>
      <c r="AR57" s="706"/>
    </row>
    <row r="58" spans="1:44" ht="11.25" customHeight="1">
      <c r="M58" s="1060"/>
      <c r="N58" s="1060"/>
      <c r="O58" s="462"/>
      <c r="P58" s="1055"/>
      <c r="Q58" s="1055"/>
      <c r="R58" s="1055"/>
      <c r="S58" s="1055"/>
      <c r="AN58" s="1055"/>
      <c r="AO58" s="1055"/>
      <c r="AP58" s="1055"/>
      <c r="AQ58" s="1055"/>
      <c r="AR58" s="1055"/>
    </row>
    <row r="59" spans="1:44" ht="18.75" customHeight="1">
      <c r="O59" s="462"/>
      <c r="S59" s="1164"/>
      <c r="T59" s="2290"/>
      <c r="U59" s="2290"/>
      <c r="V59" s="2290"/>
      <c r="W59" s="2290"/>
      <c r="X59" s="2290"/>
      <c r="Y59" s="2290"/>
      <c r="Z59" s="2290"/>
      <c r="AA59" s="2290"/>
      <c r="AB59" s="2290"/>
      <c r="AC59" s="2290"/>
      <c r="AD59" s="2290"/>
      <c r="AE59" s="2290"/>
      <c r="AF59" s="2290"/>
      <c r="AG59" s="2290"/>
      <c r="AH59" s="2290"/>
      <c r="AI59" s="2290"/>
      <c r="AJ59" s="2290"/>
      <c r="AK59" s="2290"/>
      <c r="AL59" s="2290"/>
      <c r="AM59" s="2290"/>
    </row>
    <row r="60" spans="1:44" ht="27.75" customHeight="1">
      <c r="O60" s="462"/>
      <c r="T60" s="2290"/>
      <c r="U60" s="2290"/>
      <c r="V60" s="2290"/>
      <c r="W60" s="2290"/>
      <c r="X60" s="2290"/>
      <c r="Y60" s="2290"/>
      <c r="Z60" s="2290"/>
      <c r="AA60" s="2290"/>
      <c r="AB60" s="2290"/>
      <c r="AC60" s="2290"/>
      <c r="AD60" s="2290"/>
      <c r="AE60" s="2290"/>
      <c r="AF60" s="2290"/>
      <c r="AG60" s="2290"/>
      <c r="AH60" s="2290"/>
      <c r="AI60" s="2290"/>
      <c r="AJ60" s="2290"/>
      <c r="AK60" s="2290"/>
      <c r="AL60" s="2290"/>
      <c r="AM60" s="2290"/>
    </row>
    <row r="61" spans="1:44" ht="39.75" customHeight="1">
      <c r="O61" s="462"/>
      <c r="T61" s="2290"/>
      <c r="U61" s="2290"/>
      <c r="V61" s="2290"/>
      <c r="W61" s="2290"/>
      <c r="X61" s="2290"/>
      <c r="Y61" s="2290"/>
      <c r="Z61" s="2290"/>
      <c r="AA61" s="2290"/>
      <c r="AB61" s="2290"/>
      <c r="AC61" s="2290"/>
      <c r="AD61" s="2290"/>
      <c r="AE61" s="2290"/>
      <c r="AF61" s="2290"/>
      <c r="AG61" s="2290"/>
      <c r="AH61" s="2290"/>
      <c r="AI61" s="2290"/>
      <c r="AJ61" s="2290"/>
      <c r="AK61" s="2290"/>
      <c r="AL61" s="2290"/>
      <c r="AM61" s="2290"/>
    </row>
    <row r="62" spans="1:44" ht="14.25" customHeight="1">
      <c r="O62" s="462"/>
    </row>
    <row r="63" spans="1:44" ht="19.5" customHeight="1">
      <c r="O63" s="462"/>
      <c r="S63" s="1164"/>
      <c r="T63" s="2190"/>
      <c r="U63" s="2290"/>
      <c r="V63" s="2290"/>
      <c r="W63" s="2290"/>
      <c r="X63" s="2290"/>
      <c r="Y63" s="2290"/>
      <c r="Z63" s="2290"/>
      <c r="AA63" s="2290"/>
      <c r="AB63" s="2290"/>
      <c r="AC63" s="2290"/>
      <c r="AD63" s="2290"/>
      <c r="AE63" s="2290"/>
      <c r="AF63" s="2290"/>
      <c r="AG63" s="2290"/>
      <c r="AH63" s="2290"/>
      <c r="AI63" s="2290"/>
      <c r="AJ63" s="2290"/>
      <c r="AK63" s="2290"/>
      <c r="AL63" s="2290"/>
      <c r="AM63" s="2290"/>
    </row>
    <row r="64" spans="1:44" ht="27.75" customHeight="1">
      <c r="O64" s="462"/>
      <c r="T64" s="2290"/>
      <c r="U64" s="2290"/>
      <c r="V64" s="2290"/>
      <c r="W64" s="2290"/>
      <c r="X64" s="2290"/>
      <c r="Y64" s="2290"/>
      <c r="Z64" s="2290"/>
      <c r="AA64" s="2290"/>
      <c r="AB64" s="2290"/>
      <c r="AC64" s="2290"/>
      <c r="AD64" s="2290"/>
      <c r="AE64" s="2290"/>
      <c r="AF64" s="2290"/>
      <c r="AG64" s="2290"/>
      <c r="AH64" s="2290"/>
      <c r="AI64" s="2290"/>
      <c r="AJ64" s="2290"/>
      <c r="AK64" s="2290"/>
      <c r="AL64" s="2290"/>
      <c r="AM64" s="2290"/>
    </row>
    <row r="65" spans="20:39" ht="33.75" customHeight="1">
      <c r="T65" s="2290"/>
      <c r="U65" s="2290"/>
      <c r="V65" s="2290"/>
      <c r="W65" s="2290"/>
      <c r="X65" s="2290"/>
      <c r="Y65" s="2290"/>
      <c r="Z65" s="2290"/>
      <c r="AA65" s="2290"/>
      <c r="AB65" s="2290"/>
      <c r="AC65" s="2290"/>
      <c r="AD65" s="2290"/>
      <c r="AE65" s="2290"/>
      <c r="AF65" s="2290"/>
      <c r="AG65" s="2290"/>
      <c r="AH65" s="2290"/>
      <c r="AI65" s="2290"/>
      <c r="AJ65" s="2290"/>
      <c r="AK65" s="2290"/>
      <c r="AL65" s="2290"/>
      <c r="AM65" s="2290"/>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34B4E-B2C9-A4A4-53C3-6415FB5C8709}">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2" style="1931" hidden="1" customWidth="1"/>
    <col min="10" max="10" width="9.85546875" style="1931" hidden="1" customWidth="1"/>
    <col min="11" max="11" width="11.42578125" style="1931" hidden="1" customWidth="1"/>
    <col min="12" max="12" width="19.140625" style="1932" hidden="1" customWidth="1"/>
    <col min="13" max="14" width="12.28515625" style="1933" hidden="1" customWidth="1"/>
    <col min="15" max="15" width="23.42578125" style="1933" hidden="1" customWidth="1"/>
    <col min="16" max="16" width="3.7109375" style="1937" hidden="1" customWidth="1"/>
    <col min="17" max="18" width="3.7109375" style="1939" customWidth="1"/>
    <col min="19" max="19" width="12.7109375" style="1940" customWidth="1"/>
    <col min="20" max="20" width="32" style="1905" customWidth="1"/>
    <col min="21" max="21" width="0.140625" style="1905" customWidth="1"/>
    <col min="22" max="22" width="24.7109375" style="1905" hidden="1" customWidth="1"/>
    <col min="23" max="23" width="0.140625" style="1905" hidden="1" customWidth="1"/>
    <col min="24" max="25" width="24.7109375" style="1905" hidden="1" customWidth="1"/>
    <col min="26" max="26" width="11.7109375" style="1905" hidden="1" customWidth="1"/>
    <col min="27" max="27" width="3.7109375" style="1905" hidden="1" customWidth="1"/>
    <col min="28" max="28" width="11.7109375" style="1905" hidden="1" customWidth="1"/>
    <col min="29" max="29" width="8.5703125" style="1905" hidden="1" customWidth="1"/>
    <col min="30" max="30" width="24.7109375" style="1905" customWidth="1"/>
    <col min="31" max="31" width="0.140625" style="1905" customWidth="1"/>
    <col min="32" max="33" width="24.7109375" style="1905" customWidth="1"/>
    <col min="34" max="34" width="11.7109375" style="1905" customWidth="1"/>
    <col min="35" max="35" width="3.7109375" style="1905" customWidth="1"/>
    <col min="36" max="36" width="11.7109375" style="1905" customWidth="1"/>
    <col min="37" max="37" width="8.5703125" style="1905" hidden="1" customWidth="1"/>
    <col min="38" max="38" width="4.7109375" style="1905" customWidth="1"/>
    <col min="39" max="39" width="115.7109375" style="1905" customWidth="1"/>
    <col min="40" max="41" width="10.5703125" style="1820"/>
    <col min="42" max="42" width="11.140625" style="1820" customWidth="1"/>
    <col min="43" max="44" width="10.5703125" style="1820"/>
  </cols>
  <sheetData>
    <row r="1" spans="1:44" ht="14.25" hidden="1" customHeight="1">
      <c r="A1" s="1781"/>
      <c r="Y1" s="253"/>
      <c r="Z1" s="253"/>
      <c r="AG1" s="253"/>
      <c r="AH1" s="253"/>
    </row>
    <row r="2" spans="1:44" ht="21" hidden="1" customHeight="1">
      <c r="A2" s="1279"/>
      <c r="B2" s="1279"/>
      <c r="C2" s="1279"/>
      <c r="D2" s="1279"/>
      <c r="E2" s="2270">
        <v>1</v>
      </c>
      <c r="F2" s="1279"/>
      <c r="G2" s="1279"/>
      <c r="H2" s="1279"/>
      <c r="I2" s="1279"/>
      <c r="J2" s="1279"/>
      <c r="K2" s="1279"/>
      <c r="L2" s="1280"/>
      <c r="M2" s="1281"/>
      <c r="N2" s="1281"/>
      <c r="O2" s="1281"/>
      <c r="P2" s="286"/>
      <c r="Q2" s="285"/>
      <c r="R2" s="280"/>
      <c r="S2" s="1253" t="e">
        <f>INDEX(PT_DIFFERENTIATION_NUM_NTAR,MATCH(A2,PT_DIFFERENTIATION_NTAR_ID,0))</f>
        <v>#N/A</v>
      </c>
      <c r="T2" s="216" t="s">
        <v>122</v>
      </c>
      <c r="U2" s="218"/>
      <c r="V2" s="2256"/>
      <c r="W2" s="2257"/>
      <c r="X2" s="2257"/>
      <c r="Y2" s="2257"/>
      <c r="Z2" s="2257"/>
      <c r="AA2" s="2257"/>
      <c r="AB2" s="2257"/>
      <c r="AC2" s="2258"/>
      <c r="AD2" s="2256" t="e">
        <f>INDEX(PT_DIFFERENTIATION_NTAR,MATCH(A2,PT_DIFFERENTIATION_NTAR_ID,0))</f>
        <v>#N/A</v>
      </c>
      <c r="AE2" s="2257"/>
      <c r="AF2" s="2257"/>
      <c r="AG2" s="2257"/>
      <c r="AH2" s="2257"/>
      <c r="AI2" s="2257"/>
      <c r="AJ2" s="2257"/>
      <c r="AK2" s="2257"/>
      <c r="AL2" s="2258"/>
      <c r="AM2" s="1177" t="s">
        <v>387</v>
      </c>
      <c r="AO2" s="426"/>
      <c r="AP2" s="426" t="str">
        <f t="shared" ref="AP2:AP15" si="0">IF(T2="","",T2)</f>
        <v>Наименование тарифа</v>
      </c>
      <c r="AQ2" s="426"/>
      <c r="AR2" s="426"/>
    </row>
    <row r="3" spans="1:44" ht="21" hidden="1" customHeight="1">
      <c r="A3" s="1279"/>
      <c r="B3" s="1279"/>
      <c r="C3" s="1279"/>
      <c r="D3" s="1279"/>
      <c r="E3" s="2271"/>
      <c r="F3" s="2270">
        <v>1</v>
      </c>
      <c r="G3" s="1279"/>
      <c r="H3" s="1279"/>
      <c r="I3" s="1279"/>
      <c r="J3" s="1279"/>
      <c r="K3" s="1279"/>
      <c r="L3" s="1280"/>
      <c r="M3" s="1281"/>
      <c r="N3" s="1281"/>
      <c r="O3" s="1281"/>
      <c r="P3" s="1249"/>
      <c r="Q3" s="277"/>
      <c r="R3" s="278"/>
      <c r="S3" s="1253" t="e">
        <f>INDEX(PT_DIFFERENTIATION_NUM_TER,MATCH(B3,PT_DIFFERENTIATION_TER_ID,0))</f>
        <v>#N/A</v>
      </c>
      <c r="T3" s="228" t="s">
        <v>388</v>
      </c>
      <c r="U3" s="218"/>
      <c r="V3" s="2256"/>
      <c r="W3" s="2257"/>
      <c r="X3" s="2257"/>
      <c r="Y3" s="2257"/>
      <c r="Z3" s="2257"/>
      <c r="AA3" s="2257"/>
      <c r="AB3" s="2257"/>
      <c r="AC3" s="2258"/>
      <c r="AD3" s="2256" t="e">
        <f>INDEX(PT_DIFFERENTIATION_TER,MATCH(B3,PT_DIFFERENTIATION_TER_ID,0))</f>
        <v>#N/A</v>
      </c>
      <c r="AE3" s="2257"/>
      <c r="AF3" s="2257"/>
      <c r="AG3" s="2257"/>
      <c r="AH3" s="2257"/>
      <c r="AI3" s="2257"/>
      <c r="AJ3" s="2257"/>
      <c r="AK3" s="2257"/>
      <c r="AL3" s="2258"/>
      <c r="AM3" s="1177" t="s">
        <v>389</v>
      </c>
      <c r="AO3" s="426"/>
      <c r="AP3" s="426" t="str">
        <f t="shared" si="0"/>
        <v>Территория действия тарифа</v>
      </c>
      <c r="AQ3" s="426"/>
      <c r="AR3" s="426"/>
    </row>
    <row r="4" spans="1:44" ht="23.25" hidden="1" customHeight="1">
      <c r="A4" s="1279"/>
      <c r="B4" s="1279"/>
      <c r="C4" s="1279"/>
      <c r="D4" s="1279"/>
      <c r="E4" s="2271"/>
      <c r="F4" s="2271"/>
      <c r="G4" s="2270">
        <v>1</v>
      </c>
      <c r="H4" s="1279"/>
      <c r="I4" s="1279"/>
      <c r="J4" s="1279"/>
      <c r="K4" s="1279"/>
      <c r="L4" s="1280"/>
      <c r="M4" s="1281"/>
      <c r="N4" s="1281"/>
      <c r="O4" s="1281"/>
      <c r="P4" s="279"/>
      <c r="Q4" s="277"/>
      <c r="R4" s="278"/>
      <c r="S4" s="1253" t="e">
        <f>INDEX(PT_DIFFERENTIATION_NUM_CS,MATCH(C4,PT_DIFFERENTIATION_CS_ID,0))</f>
        <v>#N/A</v>
      </c>
      <c r="T4" s="229" t="s">
        <v>390</v>
      </c>
      <c r="U4" s="218"/>
      <c r="V4" s="2256"/>
      <c r="W4" s="2257"/>
      <c r="X4" s="2257"/>
      <c r="Y4" s="2257"/>
      <c r="Z4" s="2257"/>
      <c r="AA4" s="2257"/>
      <c r="AB4" s="2257"/>
      <c r="AC4" s="2258"/>
      <c r="AD4" s="2256" t="e">
        <f>INDEX(PT_DIFFERENTIATION_CS,MATCH(C4,PT_DIFFERENTIATION_CS_ID,0))</f>
        <v>#N/A</v>
      </c>
      <c r="AE4" s="2257"/>
      <c r="AF4" s="2257"/>
      <c r="AG4" s="2257"/>
      <c r="AH4" s="2257"/>
      <c r="AI4" s="2257"/>
      <c r="AJ4" s="2257"/>
      <c r="AK4" s="2257"/>
      <c r="AL4" s="2258"/>
      <c r="AM4" s="1177" t="s">
        <v>391</v>
      </c>
      <c r="AO4" s="426"/>
      <c r="AP4" s="426" t="str">
        <f t="shared" si="0"/>
        <v xml:space="preserve">Наименование системы теплоснабжения </v>
      </c>
      <c r="AQ4" s="426"/>
      <c r="AR4" s="426"/>
    </row>
    <row r="5" spans="1:44" ht="21" hidden="1" customHeight="1">
      <c r="A5" s="1279"/>
      <c r="B5" s="1279"/>
      <c r="C5" s="1279"/>
      <c r="D5" s="1279"/>
      <c r="E5" s="2271"/>
      <c r="F5" s="2271"/>
      <c r="G5" s="2271"/>
      <c r="H5" s="2270">
        <v>1</v>
      </c>
      <c r="I5" s="1279"/>
      <c r="J5" s="1279"/>
      <c r="K5" s="1279"/>
      <c r="L5" s="1280"/>
      <c r="M5" s="1281"/>
      <c r="N5" s="1281"/>
      <c r="O5" s="1281"/>
      <c r="P5" s="279"/>
      <c r="Q5" s="277"/>
      <c r="R5" s="278"/>
      <c r="S5" s="1253" t="e">
        <f>INDEX(PT_DIFFERENTIATION_NUM_IST_TE,MATCH(D5,PT_DIFFERENTIATION_IST_TE_ID,0))</f>
        <v>#N/A</v>
      </c>
      <c r="T5" s="230" t="s">
        <v>392</v>
      </c>
      <c r="U5" s="218"/>
      <c r="V5" s="2256"/>
      <c r="W5" s="2257"/>
      <c r="X5" s="2257"/>
      <c r="Y5" s="2257"/>
      <c r="Z5" s="2257"/>
      <c r="AA5" s="2257"/>
      <c r="AB5" s="2257"/>
      <c r="AC5" s="2258"/>
      <c r="AD5" s="2256" t="e">
        <f>INDEX(PT_DIFFERENTIATION_IST_TE,MATCH(D5,PT_DIFFERENTIATION_IST_TE_ID,0))</f>
        <v>#N/A</v>
      </c>
      <c r="AE5" s="2257"/>
      <c r="AF5" s="2257"/>
      <c r="AG5" s="2257"/>
      <c r="AH5" s="2257"/>
      <c r="AI5" s="2257"/>
      <c r="AJ5" s="2257"/>
      <c r="AK5" s="2257"/>
      <c r="AL5" s="2258"/>
      <c r="AM5" s="1177" t="s">
        <v>393</v>
      </c>
      <c r="AO5" s="426"/>
      <c r="AP5" s="426" t="str">
        <f t="shared" si="0"/>
        <v xml:space="preserve">Источник тепловой энергии  </v>
      </c>
      <c r="AQ5" s="426"/>
      <c r="AR5" s="426"/>
    </row>
    <row r="6" spans="1:44" ht="14.25" hidden="1" customHeight="1">
      <c r="A6" s="1279"/>
      <c r="B6" s="1279"/>
      <c r="C6" s="1279"/>
      <c r="D6" s="1279"/>
      <c r="E6" s="2271"/>
      <c r="F6" s="2271"/>
      <c r="G6" s="2271"/>
      <c r="H6" s="2271"/>
      <c r="I6" s="2268" t="e">
        <f>S5&amp;".1"</f>
        <v>#N/A</v>
      </c>
      <c r="J6" s="1279"/>
      <c r="K6" s="1279"/>
      <c r="L6" s="1280" t="s">
        <v>394</v>
      </c>
      <c r="M6" s="462"/>
      <c r="P6" s="2269">
        <v>1</v>
      </c>
      <c r="Q6" s="1248"/>
      <c r="R6" s="281"/>
      <c r="S6" s="949"/>
      <c r="T6" s="1299"/>
      <c r="U6" s="1300"/>
      <c r="V6" s="2297"/>
      <c r="W6" s="2298"/>
      <c r="X6" s="2298"/>
      <c r="Y6" s="2298"/>
      <c r="Z6" s="2298"/>
      <c r="AA6" s="2298"/>
      <c r="AB6" s="2298"/>
      <c r="AC6" s="2299"/>
      <c r="AD6" s="2297"/>
      <c r="AE6" s="2298"/>
      <c r="AF6" s="2298"/>
      <c r="AG6" s="2298"/>
      <c r="AH6" s="2298"/>
      <c r="AI6" s="2298"/>
      <c r="AJ6" s="2298"/>
      <c r="AK6" s="2298"/>
      <c r="AL6" s="2299"/>
      <c r="AM6" s="1301"/>
      <c r="AO6" s="426"/>
      <c r="AP6" s="426" t="str">
        <f t="shared" si="0"/>
        <v/>
      </c>
      <c r="AQ6" s="426"/>
      <c r="AR6" s="426"/>
    </row>
    <row r="7" spans="1:44" ht="21" hidden="1" customHeight="1">
      <c r="A7" s="1279"/>
      <c r="B7" s="1279"/>
      <c r="C7" s="1279"/>
      <c r="D7" s="1279"/>
      <c r="E7" s="2271"/>
      <c r="F7" s="2271"/>
      <c r="G7" s="2271"/>
      <c r="H7" s="2271"/>
      <c r="I7" s="2291"/>
      <c r="J7" s="2268" t="e">
        <f>I6&amp;".1"</f>
        <v>#N/A</v>
      </c>
      <c r="K7" s="1279"/>
      <c r="L7" s="1280" t="s">
        <v>397</v>
      </c>
      <c r="M7" s="462"/>
      <c r="N7" s="1282"/>
      <c r="P7" s="2269"/>
      <c r="Q7" s="2269">
        <v>1</v>
      </c>
      <c r="R7" s="282"/>
      <c r="S7" s="1253" t="e">
        <f>$J7</f>
        <v>#N/A</v>
      </c>
      <c r="T7" s="204" t="s">
        <v>398</v>
      </c>
      <c r="U7" s="218"/>
      <c r="V7" s="2259"/>
      <c r="W7" s="2260"/>
      <c r="X7" s="2260"/>
      <c r="Y7" s="2260"/>
      <c r="Z7" s="2260"/>
      <c r="AA7" s="2260"/>
      <c r="AB7" s="2260"/>
      <c r="AC7" s="2261"/>
      <c r="AD7" s="2259"/>
      <c r="AE7" s="2260"/>
      <c r="AF7" s="2260"/>
      <c r="AG7" s="2260"/>
      <c r="AH7" s="2260"/>
      <c r="AI7" s="2260"/>
      <c r="AJ7" s="2260"/>
      <c r="AK7" s="2260"/>
      <c r="AL7" s="2261"/>
      <c r="AM7" s="1177" t="s">
        <v>399</v>
      </c>
      <c r="AO7" s="426"/>
      <c r="AP7" s="426" t="str">
        <f t="shared" si="0"/>
        <v>Группа потребителей</v>
      </c>
      <c r="AQ7" s="426"/>
      <c r="AR7" s="426"/>
    </row>
    <row r="8" spans="1:44" ht="21" hidden="1" customHeight="1">
      <c r="A8" s="1279"/>
      <c r="B8" s="1279"/>
      <c r="C8" s="1279"/>
      <c r="D8" s="1279"/>
      <c r="E8" s="2271"/>
      <c r="F8" s="2271"/>
      <c r="G8" s="2271"/>
      <c r="H8" s="2271"/>
      <c r="I8" s="2291"/>
      <c r="J8" s="2291"/>
      <c r="K8" s="2268" t="e">
        <f>J7&amp;".1"</f>
        <v>#N/A</v>
      </c>
      <c r="L8" s="1280" t="s">
        <v>400</v>
      </c>
      <c r="M8" s="462"/>
      <c r="N8" s="1282"/>
      <c r="O8" s="1282"/>
      <c r="P8" s="2269"/>
      <c r="Q8" s="2269"/>
      <c r="R8" s="282">
        <v>1</v>
      </c>
      <c r="S8" s="1253" t="e">
        <f>$K8</f>
        <v>#N/A</v>
      </c>
      <c r="T8" s="1264"/>
      <c r="U8" s="218"/>
      <c r="V8" s="668"/>
      <c r="W8" s="250"/>
      <c r="X8" s="668"/>
      <c r="Y8" s="1176"/>
      <c r="Z8" s="2273"/>
      <c r="AA8" s="2124" t="s">
        <v>61</v>
      </c>
      <c r="AB8" s="2273"/>
      <c r="AC8" s="2124" t="s">
        <v>61</v>
      </c>
      <c r="AD8" s="668"/>
      <c r="AE8" s="250"/>
      <c r="AF8" s="668"/>
      <c r="AG8" s="1176"/>
      <c r="AH8" s="2273"/>
      <c r="AI8" s="2124" t="s">
        <v>61</v>
      </c>
      <c r="AJ8" s="2273"/>
      <c r="AK8" s="2124" t="s">
        <v>61</v>
      </c>
      <c r="AL8" s="250"/>
      <c r="AM8" s="2265" t="s">
        <v>401</v>
      </c>
      <c r="AN8" s="437" t="e">
        <f ca="1">STRCHECKDATE(V9:AL9)</f>
        <v>#NAME?</v>
      </c>
      <c r="AO8" s="426"/>
      <c r="AP8" s="426" t="str">
        <f t="shared" si="0"/>
        <v/>
      </c>
      <c r="AQ8" s="426"/>
      <c r="AR8" s="426"/>
    </row>
    <row r="9" spans="1:44" ht="14.25" hidden="1" customHeight="1">
      <c r="A9" s="1279"/>
      <c r="B9" s="1279"/>
      <c r="C9" s="1279"/>
      <c r="D9" s="1279"/>
      <c r="E9" s="2271"/>
      <c r="F9" s="2271"/>
      <c r="G9" s="2271"/>
      <c r="H9" s="2271"/>
      <c r="I9" s="2291"/>
      <c r="J9" s="2291"/>
      <c r="K9" s="2268"/>
      <c r="L9" s="1280"/>
      <c r="M9" s="462"/>
      <c r="N9" s="1282"/>
      <c r="O9" s="1282"/>
      <c r="P9" s="2269"/>
      <c r="Q9" s="2269"/>
      <c r="R9" s="282"/>
      <c r="S9" s="1259"/>
      <c r="T9" s="218"/>
      <c r="U9" s="218"/>
      <c r="V9" s="250"/>
      <c r="W9" s="250"/>
      <c r="X9" s="250"/>
      <c r="Y9" s="254" t="str">
        <f>Z8&amp;"-"&amp;AB8</f>
        <v>-</v>
      </c>
      <c r="Z9" s="2274"/>
      <c r="AA9" s="2124"/>
      <c r="AB9" s="2274"/>
      <c r="AC9" s="2124"/>
      <c r="AD9" s="250"/>
      <c r="AE9" s="250"/>
      <c r="AF9" s="250"/>
      <c r="AG9" s="254" t="str">
        <f>AH8&amp;"-"&amp;AJ8</f>
        <v>-</v>
      </c>
      <c r="AH9" s="2274"/>
      <c r="AI9" s="2124"/>
      <c r="AJ9" s="2274"/>
      <c r="AK9" s="2124"/>
      <c r="AL9" s="250"/>
      <c r="AM9" s="2266"/>
      <c r="AO9" s="426"/>
      <c r="AP9" s="426" t="str">
        <f t="shared" si="0"/>
        <v/>
      </c>
      <c r="AQ9" s="426"/>
      <c r="AR9" s="426"/>
    </row>
    <row r="10" spans="1:44" ht="15" hidden="1" customHeight="1">
      <c r="A10" s="1279"/>
      <c r="B10" s="1279"/>
      <c r="C10" s="1279"/>
      <c r="D10" s="1279"/>
      <c r="E10" s="2271"/>
      <c r="F10" s="2271"/>
      <c r="G10" s="2271"/>
      <c r="H10" s="2271"/>
      <c r="I10" s="2291"/>
      <c r="J10" s="2268"/>
      <c r="K10" s="1279"/>
      <c r="L10" s="1280"/>
      <c r="M10" s="462"/>
      <c r="N10" s="1282"/>
      <c r="P10" s="2269"/>
      <c r="Q10" s="2269"/>
      <c r="R10" s="281"/>
      <c r="S10" s="1198"/>
      <c r="T10" s="205" t="s">
        <v>402</v>
      </c>
      <c r="U10" s="295"/>
      <c r="V10" s="295"/>
      <c r="W10" s="295"/>
      <c r="X10" s="295"/>
      <c r="Y10" s="295"/>
      <c r="Z10" s="295"/>
      <c r="AA10" s="295"/>
      <c r="AB10" s="295"/>
      <c r="AC10" s="295"/>
      <c r="AD10" s="295"/>
      <c r="AE10" s="295"/>
      <c r="AF10" s="295"/>
      <c r="AG10" s="295"/>
      <c r="AH10" s="295"/>
      <c r="AI10" s="295"/>
      <c r="AJ10" s="295"/>
      <c r="AK10" s="295"/>
      <c r="AL10" s="249"/>
      <c r="AM10" s="2267"/>
      <c r="AO10" s="426"/>
      <c r="AP10" s="426" t="str">
        <f t="shared" si="0"/>
        <v>Добавить вид теплоносителя (параметры теплоносителя)</v>
      </c>
      <c r="AQ10" s="426"/>
      <c r="AR10" s="426"/>
    </row>
    <row r="11" spans="1:44" ht="11.25" hidden="1" customHeight="1">
      <c r="A11" s="1279"/>
      <c r="B11" s="1279"/>
      <c r="C11" s="1279"/>
      <c r="D11" s="1279"/>
      <c r="E11" s="2271"/>
      <c r="F11" s="2271"/>
      <c r="G11" s="2271"/>
      <c r="H11" s="2271"/>
      <c r="I11" s="2268"/>
      <c r="J11" s="1279"/>
      <c r="K11" s="1279"/>
      <c r="L11" s="1280"/>
      <c r="M11" s="462"/>
      <c r="P11" s="2269"/>
      <c r="Q11" s="1248"/>
      <c r="R11" s="281"/>
      <c r="S11" s="1198"/>
      <c r="T11" s="292" t="s">
        <v>403</v>
      </c>
      <c r="U11" s="295"/>
      <c r="V11" s="295"/>
      <c r="W11" s="295"/>
      <c r="X11" s="295"/>
      <c r="Y11" s="295"/>
      <c r="Z11" s="295"/>
      <c r="AA11" s="295"/>
      <c r="AB11" s="295"/>
      <c r="AC11" s="294"/>
      <c r="AD11" s="295"/>
      <c r="AE11" s="295"/>
      <c r="AF11" s="295"/>
      <c r="AG11" s="295"/>
      <c r="AH11" s="295"/>
      <c r="AI11" s="295"/>
      <c r="AJ11" s="295"/>
      <c r="AK11" s="294"/>
      <c r="AL11" s="295"/>
      <c r="AM11" s="221"/>
      <c r="AO11" s="426"/>
      <c r="AP11" s="426" t="str">
        <f t="shared" si="0"/>
        <v>Добавить группу потребителей</v>
      </c>
      <c r="AQ11" s="426"/>
      <c r="AR11" s="426"/>
    </row>
    <row r="12" spans="1:44" ht="14.25" hidden="1" customHeight="1">
      <c r="A12" s="1279"/>
      <c r="B12" s="1279"/>
      <c r="C12" s="1279"/>
      <c r="D12" s="1279"/>
      <c r="E12" s="2271"/>
      <c r="F12" s="2271"/>
      <c r="G12" s="2271"/>
      <c r="H12" s="2270"/>
      <c r="I12" s="1279"/>
      <c r="J12" s="1279"/>
      <c r="K12" s="1279"/>
      <c r="L12" s="1280"/>
      <c r="M12" s="1281"/>
      <c r="N12" s="1281"/>
      <c r="O12" s="462"/>
      <c r="P12" s="285"/>
      <c r="Q12" s="304"/>
      <c r="R12" s="280"/>
      <c r="S12" s="1302"/>
      <c r="T12" s="1303"/>
      <c r="U12" s="1304"/>
      <c r="V12" s="1304"/>
      <c r="W12" s="1304"/>
      <c r="X12" s="1304"/>
      <c r="Y12" s="1304"/>
      <c r="Z12" s="1304"/>
      <c r="AA12" s="1304"/>
      <c r="AB12" s="1304"/>
      <c r="AC12" s="1304"/>
      <c r="AD12" s="1304"/>
      <c r="AE12" s="1304"/>
      <c r="AF12" s="1304"/>
      <c r="AG12" s="1304"/>
      <c r="AH12" s="1304"/>
      <c r="AI12" s="1304"/>
      <c r="AJ12" s="1304"/>
      <c r="AK12" s="1304"/>
      <c r="AL12" s="1304"/>
      <c r="AM12" s="1305"/>
      <c r="AO12" s="426"/>
      <c r="AP12" s="426" t="str">
        <f t="shared" si="0"/>
        <v/>
      </c>
      <c r="AQ12" s="426"/>
      <c r="AR12" s="426"/>
    </row>
    <row r="13" spans="1:44" s="1930" customFormat="1" ht="14.25" hidden="1" customHeight="1">
      <c r="A13" s="1232"/>
      <c r="B13" s="1232"/>
      <c r="C13" s="1232"/>
      <c r="D13" s="1232"/>
      <c r="E13" s="2271"/>
      <c r="F13" s="2271"/>
      <c r="G13" s="2270"/>
      <c r="H13" s="1232"/>
      <c r="I13" s="1232"/>
      <c r="J13" s="1232"/>
      <c r="K13" s="1232"/>
      <c r="L13" s="1256"/>
      <c r="M13" s="1233"/>
      <c r="N13" s="1233"/>
      <c r="P13" s="1234"/>
      <c r="Q13" s="1235"/>
      <c r="R13" s="1234"/>
      <c r="S13" s="1236"/>
      <c r="T13" s="1237" t="s">
        <v>405</v>
      </c>
      <c r="U13" s="1238"/>
      <c r="V13" s="1238"/>
      <c r="W13" s="1238"/>
      <c r="X13" s="1238"/>
      <c r="Y13" s="1238"/>
      <c r="Z13" s="1238"/>
      <c r="AA13" s="1238"/>
      <c r="AB13" s="1238"/>
      <c r="AC13" s="1238"/>
      <c r="AD13" s="1238"/>
      <c r="AE13" s="1238"/>
      <c r="AF13" s="1238"/>
      <c r="AG13" s="1238"/>
      <c r="AH13" s="1238"/>
      <c r="AI13" s="1238"/>
      <c r="AJ13" s="1238"/>
      <c r="AK13" s="1238"/>
      <c r="AL13" s="1238"/>
      <c r="AM13" s="1238"/>
      <c r="AO13" s="706"/>
      <c r="AP13" s="706" t="str">
        <f t="shared" si="0"/>
        <v>Добавить источник для дифференциации</v>
      </c>
      <c r="AQ13" s="706"/>
      <c r="AR13" s="706"/>
    </row>
    <row r="14" spans="1:44" s="1930" customFormat="1" ht="14.25" hidden="1" customHeight="1">
      <c r="A14" s="1232"/>
      <c r="B14" s="1232"/>
      <c r="C14" s="1232"/>
      <c r="D14" s="1232"/>
      <c r="E14" s="2271"/>
      <c r="F14" s="2270"/>
      <c r="G14" s="1232"/>
      <c r="H14" s="1232"/>
      <c r="I14" s="1232"/>
      <c r="J14" s="1232"/>
      <c r="K14" s="1232"/>
      <c r="L14" s="1256"/>
      <c r="M14" s="1239"/>
      <c r="N14" s="1239"/>
      <c r="P14" s="1234"/>
      <c r="Q14" s="1235"/>
      <c r="R14" s="1234"/>
      <c r="S14" s="1240"/>
      <c r="T14" s="1241" t="s">
        <v>215</v>
      </c>
      <c r="U14" s="1242"/>
      <c r="V14" s="1242"/>
      <c r="W14" s="1242"/>
      <c r="X14" s="1242"/>
      <c r="Y14" s="1242"/>
      <c r="Z14" s="1242"/>
      <c r="AA14" s="1242"/>
      <c r="AB14" s="1242"/>
      <c r="AC14" s="1242"/>
      <c r="AD14" s="1242"/>
      <c r="AE14" s="1242"/>
      <c r="AF14" s="1242"/>
      <c r="AG14" s="1242"/>
      <c r="AH14" s="1242"/>
      <c r="AI14" s="1242"/>
      <c r="AJ14" s="1242"/>
      <c r="AK14" s="1242"/>
      <c r="AL14" s="1242"/>
      <c r="AM14" s="1242"/>
      <c r="AO14" s="706"/>
      <c r="AP14" s="706" t="str">
        <f t="shared" si="0"/>
        <v>Добавить централизованную систему для дифференциации</v>
      </c>
      <c r="AQ14" s="706"/>
      <c r="AR14" s="706"/>
    </row>
    <row r="15" spans="1:44" s="1930" customFormat="1" ht="14.25" hidden="1" customHeight="1">
      <c r="A15" s="1232"/>
      <c r="B15" s="1232"/>
      <c r="C15" s="1232"/>
      <c r="D15" s="1232"/>
      <c r="E15" s="2270"/>
      <c r="F15" s="1232"/>
      <c r="G15" s="1232"/>
      <c r="H15" s="1232"/>
      <c r="I15" s="1232"/>
      <c r="J15" s="1232"/>
      <c r="K15" s="1232"/>
      <c r="L15" s="1256"/>
      <c r="M15" s="1239"/>
      <c r="N15" s="1239"/>
      <c r="P15" s="1234"/>
      <c r="Q15" s="1235"/>
      <c r="R15" s="1234"/>
      <c r="S15" s="1240"/>
      <c r="T15" s="1243" t="s">
        <v>216</v>
      </c>
      <c r="U15" s="1242"/>
      <c r="V15" s="1242"/>
      <c r="W15" s="1242"/>
      <c r="X15" s="1242"/>
      <c r="Y15" s="1242"/>
      <c r="Z15" s="1242"/>
      <c r="AA15" s="1242"/>
      <c r="AB15" s="1242"/>
      <c r="AC15" s="1242"/>
      <c r="AD15" s="1242"/>
      <c r="AE15" s="1242"/>
      <c r="AF15" s="1242"/>
      <c r="AG15" s="1242"/>
      <c r="AH15" s="1242"/>
      <c r="AI15" s="1242"/>
      <c r="AJ15" s="1242"/>
      <c r="AK15" s="1242"/>
      <c r="AL15" s="1242"/>
      <c r="AM15" s="1242"/>
      <c r="AO15" s="706"/>
      <c r="AP15" s="706" t="str">
        <f t="shared" si="0"/>
        <v>Добавить территорию для дифференциации</v>
      </c>
      <c r="AQ15" s="706"/>
      <c r="AR15" s="706"/>
    </row>
    <row r="16" spans="1:44" ht="14.25" hidden="1" customHeight="1">
      <c r="AC16" s="253"/>
      <c r="AK16" s="253"/>
    </row>
    <row r="17" spans="1:44" ht="14.25" hidden="1" customHeight="1">
      <c r="AD17" s="1276"/>
      <c r="AE17" s="1276"/>
      <c r="AF17" s="1276"/>
      <c r="AG17" s="1277"/>
      <c r="AH17" s="2275"/>
      <c r="AI17" s="2276" t="s">
        <v>61</v>
      </c>
      <c r="AJ17" s="2275"/>
      <c r="AK17" s="2276" t="s">
        <v>61</v>
      </c>
    </row>
    <row r="18" spans="1:44" ht="14.25" hidden="1" customHeight="1">
      <c r="AD18" s="1276"/>
      <c r="AE18" s="1276"/>
      <c r="AF18" s="1276"/>
      <c r="AG18" s="254" t="str">
        <f>AH17&amp;"-"&amp;AJ17</f>
        <v>-</v>
      </c>
      <c r="AH18" s="2276"/>
      <c r="AI18" s="2276"/>
      <c r="AJ18" s="2276"/>
      <c r="AK18" s="2276"/>
    </row>
    <row r="19" spans="1:44" ht="14.25" hidden="1" customHeight="1">
      <c r="AK19" s="253"/>
    </row>
    <row r="20" spans="1:44" s="1931" customFormat="1" ht="22.5" hidden="1" customHeight="1">
      <c r="L20" s="1246"/>
      <c r="M20" s="1278"/>
      <c r="N20" s="1278"/>
      <c r="O20" s="1283" t="s">
        <v>406</v>
      </c>
      <c r="P20" s="1278"/>
      <c r="Q20" s="1287"/>
      <c r="R20" s="1287"/>
      <c r="S20" s="648"/>
      <c r="Z20" s="1283"/>
      <c r="AB20" s="1283"/>
      <c r="AC20" s="1282"/>
      <c r="AH20" s="1283"/>
      <c r="AJ20" s="1283"/>
      <c r="AK20" s="1282"/>
      <c r="AN20" s="437"/>
      <c r="AO20" s="437"/>
      <c r="AP20" s="437"/>
      <c r="AQ20" s="437"/>
      <c r="AR20" s="437"/>
    </row>
    <row r="21" spans="1:44" s="1931" customFormat="1" ht="14.25" hidden="1" customHeight="1">
      <c r="L21" s="1246"/>
      <c r="M21" s="1278"/>
      <c r="N21" s="1278"/>
      <c r="O21" s="1278"/>
      <c r="P21" s="1278"/>
      <c r="Q21" s="1287"/>
      <c r="R21" s="1287"/>
      <c r="S21" s="648"/>
      <c r="AC21" s="1282"/>
      <c r="AK21" s="1282"/>
      <c r="AN21" s="437"/>
      <c r="AO21" s="437"/>
      <c r="AP21" s="437"/>
      <c r="AQ21" s="437"/>
      <c r="AR21" s="437"/>
    </row>
    <row r="22" spans="1:44" s="1931" customFormat="1" ht="14.25" hidden="1" customHeight="1">
      <c r="L22" s="1246"/>
      <c r="M22" s="1278"/>
      <c r="N22" s="1278"/>
      <c r="O22" s="1280" t="s">
        <v>407</v>
      </c>
      <c r="P22" s="1278"/>
      <c r="Q22" s="1287"/>
      <c r="R22" s="1287"/>
      <c r="S22" s="648"/>
      <c r="T22" s="1060" t="s">
        <v>408</v>
      </c>
      <c r="AA22" s="107" t="s">
        <v>409</v>
      </c>
      <c r="AC22" s="107" t="s">
        <v>410</v>
      </c>
      <c r="AD22" s="1060" t="s">
        <v>408</v>
      </c>
      <c r="AI22" s="107" t="s">
        <v>411</v>
      </c>
      <c r="AK22" s="107" t="s">
        <v>410</v>
      </c>
      <c r="AN22" s="437"/>
      <c r="AO22" s="437"/>
      <c r="AP22" s="437"/>
      <c r="AQ22" s="437"/>
      <c r="AR22" s="437"/>
    </row>
    <row r="23" spans="1:44" ht="14.25" hidden="1" customHeight="1">
      <c r="O23" s="1280"/>
    </row>
    <row r="24" spans="1:44" ht="14.25" hidden="1" customHeight="1">
      <c r="O24" s="1280"/>
    </row>
    <row r="25" spans="1:44" ht="14.25" customHeight="1">
      <c r="Q25" s="305"/>
      <c r="R25" s="305"/>
      <c r="S25" s="1195"/>
      <c r="T25" s="290"/>
      <c r="U25" s="290"/>
      <c r="V25" s="435"/>
      <c r="W25" s="435"/>
      <c r="X25" s="435"/>
      <c r="Y25" s="435"/>
      <c r="Z25" s="435"/>
      <c r="AA25" s="435"/>
      <c r="AB25" s="435"/>
      <c r="AC25" s="435"/>
      <c r="AD25" s="435"/>
      <c r="AE25" s="435"/>
      <c r="AF25" s="435"/>
      <c r="AG25" s="435"/>
      <c r="AH25" s="435"/>
      <c r="AI25" s="435"/>
      <c r="AJ25" s="435"/>
      <c r="AK25" s="435"/>
    </row>
    <row r="26" spans="1:44" ht="51.75" customHeight="1">
      <c r="Q26" s="305"/>
      <c r="R26" s="305"/>
      <c r="S26" s="221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3"/>
      <c r="U26" s="2213"/>
      <c r="V26" s="2213"/>
      <c r="W26" s="2213"/>
      <c r="X26" s="2213"/>
      <c r="Y26" s="2213"/>
      <c r="Z26" s="2213"/>
      <c r="AA26" s="2213"/>
      <c r="AB26" s="2213"/>
      <c r="AC26" s="2213"/>
      <c r="AD26" s="2213"/>
      <c r="AE26" s="2213"/>
      <c r="AF26" s="2213"/>
      <c r="AG26" s="2213"/>
      <c r="AH26" s="2213"/>
      <c r="AI26" s="2213"/>
      <c r="AJ26" s="2213"/>
      <c r="AK26" s="1152"/>
    </row>
    <row r="27" spans="1:44" ht="14.25" customHeight="1">
      <c r="Q27" s="305"/>
      <c r="R27" s="305"/>
      <c r="S27" s="2200" t="str">
        <f>IF(org=0,"Не определено",org)</f>
        <v>ПАО "Юнипро"</v>
      </c>
      <c r="T27" s="2200"/>
      <c r="U27" s="2200"/>
      <c r="V27" s="2200"/>
      <c r="W27" s="2200"/>
      <c r="X27" s="2200"/>
      <c r="Y27" s="2200"/>
      <c r="Z27" s="2200"/>
      <c r="AA27" s="2200"/>
      <c r="AB27" s="2200"/>
      <c r="AC27" s="2200"/>
      <c r="AD27" s="2200"/>
      <c r="AE27" s="2200"/>
      <c r="AF27" s="2200"/>
      <c r="AG27" s="2200"/>
      <c r="AH27" s="2200"/>
      <c r="AI27" s="2200"/>
      <c r="AJ27" s="2200"/>
      <c r="AK27" s="1152"/>
    </row>
    <row r="28" spans="1:44" ht="14.25" customHeight="1">
      <c r="Q28" s="305"/>
      <c r="R28" s="305"/>
      <c r="S28" s="1195"/>
      <c r="T28" s="290"/>
      <c r="U28" s="290"/>
      <c r="V28" s="246"/>
      <c r="W28" s="246"/>
      <c r="X28" s="246"/>
      <c r="Y28" s="246"/>
      <c r="Z28" s="246"/>
      <c r="AA28" s="246"/>
      <c r="AB28" s="246"/>
      <c r="AC28" s="246"/>
      <c r="AD28" s="246"/>
      <c r="AE28" s="246"/>
      <c r="AF28" s="246"/>
      <c r="AG28" s="246"/>
      <c r="AH28" s="246"/>
      <c r="AI28" s="246"/>
      <c r="AJ28" s="246"/>
      <c r="AK28" s="246"/>
      <c r="AL28" s="435"/>
    </row>
    <row r="29" spans="1:44" s="1936" customFormat="1" ht="25.5" customHeight="1">
      <c r="A29" s="1284"/>
      <c r="B29" s="1284"/>
      <c r="C29" s="1284"/>
      <c r="D29" s="1284"/>
      <c r="E29" s="1284"/>
      <c r="F29" s="1284"/>
      <c r="G29" s="1284"/>
      <c r="H29" s="1284"/>
      <c r="I29" s="1284"/>
      <c r="J29" s="1284"/>
      <c r="K29" s="1284"/>
      <c r="L29" s="1285"/>
      <c r="M29" s="1284"/>
      <c r="N29" s="1284"/>
      <c r="O29" s="1284"/>
      <c r="S29" s="2262" t="s">
        <v>38</v>
      </c>
      <c r="T29" s="2262"/>
      <c r="U29" s="1288"/>
      <c r="V29" s="2263" t="str">
        <f>IF(TITLE_NAME_OR_PR_CHANGE="",IF(TITLE_NAME_OR_PR="","",TITLE_NAME_OR_PR),TITLE_NAME_OR_PR_CHANGE)</f>
        <v>Министерство тарифной политики Красноярского края</v>
      </c>
      <c r="W29" s="2263"/>
      <c r="X29" s="2263"/>
      <c r="Y29" s="2263"/>
      <c r="Z29" s="2263"/>
      <c r="AA29" s="2263"/>
      <c r="AB29" s="2263"/>
      <c r="AC29" s="252"/>
      <c r="AD29" s="2263" t="str">
        <f>IF(TITLE_NAME_OR_PR_CHANGE="",IF(TITLE_NAME_OR_PR="","",TITLE_NAME_OR_PR),TITLE_NAME_OR_PR_CHANGE)</f>
        <v>Министерство тарифной политики Красноярского края</v>
      </c>
      <c r="AE29" s="2263"/>
      <c r="AF29" s="2263"/>
      <c r="AG29" s="2263"/>
      <c r="AH29" s="2263"/>
      <c r="AI29" s="2263"/>
      <c r="AJ29" s="2263"/>
      <c r="AK29" s="252"/>
      <c r="AL29" s="252"/>
      <c r="AM29" s="199"/>
      <c r="AN29" s="296"/>
      <c r="AO29" s="296"/>
      <c r="AP29" s="296"/>
      <c r="AQ29" s="296"/>
      <c r="AR29" s="296"/>
    </row>
    <row r="30" spans="1:44" s="1936" customFormat="1" ht="18.75" customHeight="1">
      <c r="A30" s="1284"/>
      <c r="B30" s="1284"/>
      <c r="C30" s="1284"/>
      <c r="D30" s="1284"/>
      <c r="E30" s="1284"/>
      <c r="F30" s="1284"/>
      <c r="G30" s="1284"/>
      <c r="H30" s="1284"/>
      <c r="I30" s="1284"/>
      <c r="J30" s="1284"/>
      <c r="K30" s="1284"/>
      <c r="L30" s="1285"/>
      <c r="M30" s="1284"/>
      <c r="N30" s="1284"/>
      <c r="O30" s="1284"/>
      <c r="S30" s="2262" t="s">
        <v>412</v>
      </c>
      <c r="T30" s="2262"/>
      <c r="U30" s="1288"/>
      <c r="V30" s="2272">
        <f>IF(TITLE_DATE_PR_CHANGE="",IF(TITLE_DATE_PR="","",TITLE_DATE_PR),TITLE_DATE_PR_CHANGE)</f>
        <v>45278.357847222222</v>
      </c>
      <c r="W30" s="2272"/>
      <c r="X30" s="2272"/>
      <c r="Y30" s="2272"/>
      <c r="Z30" s="2272"/>
      <c r="AA30" s="2272"/>
      <c r="AB30" s="2272"/>
      <c r="AC30" s="252"/>
      <c r="AD30" s="2272">
        <f>IF(TITLE_DATE_PR_CHANGE="",IF(TITLE_DATE_PR="","",TITLE_DATE_PR),TITLE_DATE_PR_CHANGE)</f>
        <v>45278.357847222222</v>
      </c>
      <c r="AE30" s="2272"/>
      <c r="AF30" s="2272"/>
      <c r="AG30" s="2272"/>
      <c r="AH30" s="2272"/>
      <c r="AI30" s="2272"/>
      <c r="AJ30" s="2272"/>
      <c r="AK30" s="252"/>
      <c r="AL30" s="252"/>
      <c r="AM30" s="199"/>
      <c r="AN30" s="296"/>
      <c r="AO30" s="296"/>
      <c r="AP30" s="296"/>
      <c r="AQ30" s="296"/>
      <c r="AR30" s="296"/>
    </row>
    <row r="31" spans="1:44" s="1936" customFormat="1" ht="18.75" customHeight="1">
      <c r="A31" s="1284"/>
      <c r="B31" s="1284"/>
      <c r="C31" s="1284"/>
      <c r="D31" s="1284"/>
      <c r="E31" s="1284"/>
      <c r="F31" s="1284"/>
      <c r="G31" s="1284"/>
      <c r="H31" s="1284"/>
      <c r="I31" s="1284"/>
      <c r="J31" s="1284"/>
      <c r="K31" s="1284"/>
      <c r="L31" s="1285"/>
      <c r="M31" s="1284"/>
      <c r="N31" s="1284"/>
      <c r="O31" s="1284"/>
      <c r="S31" s="2262" t="s">
        <v>413</v>
      </c>
      <c r="T31" s="2262"/>
      <c r="U31" s="1288"/>
      <c r="V31" s="2263" t="str">
        <f>IF(TITLE_NUMBER_PR_CHANGE="",IF(TITLE_NUMBER_PR="","",TITLE_NUMBER_PR),TITLE_NUMBER_PR_CHANGE)</f>
        <v>924-в</v>
      </c>
      <c r="W31" s="2263"/>
      <c r="X31" s="2263"/>
      <c r="Y31" s="2263"/>
      <c r="Z31" s="2263"/>
      <c r="AA31" s="2263"/>
      <c r="AB31" s="2263"/>
      <c r="AC31" s="252"/>
      <c r="AD31" s="2263" t="str">
        <f>IF(TITLE_NUMBER_PR_CHANGE="",IF(TITLE_NUMBER_PR="","",TITLE_NUMBER_PR),TITLE_NUMBER_PR_CHANGE)</f>
        <v>924-в</v>
      </c>
      <c r="AE31" s="2263"/>
      <c r="AF31" s="2263"/>
      <c r="AG31" s="2263"/>
      <c r="AH31" s="2263"/>
      <c r="AI31" s="2263"/>
      <c r="AJ31" s="2263"/>
      <c r="AK31" s="252"/>
      <c r="AL31" s="252"/>
      <c r="AM31" s="199"/>
      <c r="AN31" s="296"/>
      <c r="AO31" s="296"/>
      <c r="AP31" s="296"/>
      <c r="AQ31" s="296"/>
      <c r="AR31" s="296"/>
    </row>
    <row r="32" spans="1:44" s="1936" customFormat="1" ht="18.75" customHeight="1">
      <c r="A32" s="1284"/>
      <c r="B32" s="1284"/>
      <c r="C32" s="1284"/>
      <c r="D32" s="1284"/>
      <c r="E32" s="1284"/>
      <c r="F32" s="1284"/>
      <c r="G32" s="1284"/>
      <c r="H32" s="1284"/>
      <c r="I32" s="1284"/>
      <c r="J32" s="1284"/>
      <c r="K32" s="1284"/>
      <c r="L32" s="1285"/>
      <c r="M32" s="1284"/>
      <c r="N32" s="1284"/>
      <c r="O32" s="1284"/>
      <c r="S32" s="2262" t="s">
        <v>40</v>
      </c>
      <c r="T32" s="2262"/>
      <c r="U32" s="1288"/>
      <c r="V32" s="2263" t="str">
        <f>IF(TITLE_IST_PUB_CHANGE="",IF(TITLE_IST_PUB="","",TITLE_IST_PUB),TITLE_IST_PUB_CHANGE)</f>
        <v>Официальный интернет-портал правовой информации Красноярского края (http://www.zakon.krskstate.ru/)</v>
      </c>
      <c r="W32" s="2263"/>
      <c r="X32" s="2263"/>
      <c r="Y32" s="2263"/>
      <c r="Z32" s="2263"/>
      <c r="AA32" s="2263"/>
      <c r="AB32" s="2263"/>
      <c r="AC32" s="252"/>
      <c r="AD32" s="2263" t="str">
        <f>IF(TITLE_IST_PUB_CHANGE="",IF(TITLE_IST_PUB="","",TITLE_IST_PUB),TITLE_IST_PUB_CHANGE)</f>
        <v>Официальный интернет-портал правовой информации Красноярского края (http://www.zakon.krskstate.ru/)</v>
      </c>
      <c r="AE32" s="2263"/>
      <c r="AF32" s="2263"/>
      <c r="AG32" s="2263"/>
      <c r="AH32" s="2263"/>
      <c r="AI32" s="2263"/>
      <c r="AJ32" s="2263"/>
      <c r="AK32" s="252"/>
      <c r="AL32" s="252"/>
      <c r="AM32" s="199"/>
      <c r="AN32" s="296"/>
      <c r="AO32" s="296"/>
      <c r="AP32" s="296"/>
      <c r="AQ32" s="296"/>
      <c r="AR32" s="296"/>
    </row>
    <row r="33" spans="1:44" ht="14.25" hidden="1" customHeight="1">
      <c r="Q33" s="305"/>
      <c r="R33" s="305"/>
      <c r="S33" s="1195"/>
      <c r="T33" s="290"/>
      <c r="U33" s="290"/>
      <c r="V33" s="246"/>
      <c r="W33" s="246"/>
      <c r="X33" s="246"/>
      <c r="Y33" s="246"/>
      <c r="Z33" s="246"/>
      <c r="AA33" s="246"/>
      <c r="AB33" s="246"/>
      <c r="AC33" s="246"/>
      <c r="AD33" s="246"/>
      <c r="AE33" s="246"/>
      <c r="AF33" s="246"/>
      <c r="AG33" s="246"/>
      <c r="AH33" s="246"/>
      <c r="AI33" s="246"/>
      <c r="AJ33" s="246"/>
      <c r="AK33" s="246"/>
      <c r="AL33" s="435"/>
    </row>
    <row r="34" spans="1:44" s="1936" customFormat="1" ht="18.75" hidden="1" customHeight="1">
      <c r="A34" s="1284"/>
      <c r="B34" s="1284"/>
      <c r="C34" s="1284"/>
      <c r="D34" s="1284"/>
      <c r="E34" s="1284"/>
      <c r="F34" s="1284"/>
      <c r="G34" s="1284"/>
      <c r="H34" s="1284"/>
      <c r="I34" s="1284"/>
      <c r="J34" s="1284"/>
      <c r="K34" s="1284"/>
      <c r="L34" s="1285"/>
      <c r="M34" s="1284"/>
      <c r="N34" s="1284"/>
      <c r="O34" s="1284"/>
      <c r="S34" s="2262" t="s">
        <v>414</v>
      </c>
      <c r="T34" s="2262"/>
      <c r="U34" s="1288"/>
      <c r="V34" s="2272">
        <f>IF(TITLE_DATE_PR_CHANGE="",IF(TITLE_DATE_PR="","",TITLE_DATE_PR),TITLE_DATE_PR_CHANGE)</f>
        <v>45278.357847222222</v>
      </c>
      <c r="W34" s="2272"/>
      <c r="X34" s="2272"/>
      <c r="Y34" s="2272"/>
      <c r="Z34" s="2272"/>
      <c r="AA34" s="2272"/>
      <c r="AB34" s="2272"/>
      <c r="AC34" s="252"/>
      <c r="AD34" s="2272">
        <f>IF(TITLE_DATE_PR_CHANGE="",IF(TITLE_DATE_PR="","",TITLE_DATE_PR),TITLE_DATE_PR_CHANGE)</f>
        <v>45278.357847222222</v>
      </c>
      <c r="AE34" s="2272"/>
      <c r="AF34" s="2272"/>
      <c r="AG34" s="2272"/>
      <c r="AH34" s="2272"/>
      <c r="AI34" s="2272"/>
      <c r="AJ34" s="2272"/>
      <c r="AK34" s="252"/>
      <c r="AL34" s="252"/>
      <c r="AM34" s="199"/>
      <c r="AN34" s="296"/>
      <c r="AO34" s="296"/>
      <c r="AP34" s="296"/>
      <c r="AQ34" s="296"/>
      <c r="AR34" s="296"/>
    </row>
    <row r="35" spans="1:44" s="1936" customFormat="1" ht="18.75" hidden="1" customHeight="1">
      <c r="A35" s="1284"/>
      <c r="B35" s="1284"/>
      <c r="C35" s="1284"/>
      <c r="D35" s="1284"/>
      <c r="E35" s="1284"/>
      <c r="F35" s="1284"/>
      <c r="G35" s="1284"/>
      <c r="H35" s="1284"/>
      <c r="I35" s="1284"/>
      <c r="J35" s="1284"/>
      <c r="K35" s="1284"/>
      <c r="L35" s="1285"/>
      <c r="M35" s="1284"/>
      <c r="N35" s="1284"/>
      <c r="O35" s="1284"/>
      <c r="S35" s="2262" t="s">
        <v>415</v>
      </c>
      <c r="T35" s="2262"/>
      <c r="U35" s="1288"/>
      <c r="V35" s="2263" t="str">
        <f>IF(TITLE_NUMBER_PR_CHANGE="",IF(TITLE_NUMBER_PR="","",TITLE_NUMBER_PR),TITLE_NUMBER_PR_CHANGE)</f>
        <v>924-в</v>
      </c>
      <c r="W35" s="2263"/>
      <c r="X35" s="2263"/>
      <c r="Y35" s="2263"/>
      <c r="Z35" s="2263"/>
      <c r="AA35" s="2263"/>
      <c r="AB35" s="2263"/>
      <c r="AC35" s="252"/>
      <c r="AD35" s="2263" t="str">
        <f>IF(TITLE_NUMBER_PR_CHANGE="",IF(TITLE_NUMBER_PR="","",TITLE_NUMBER_PR),TITLE_NUMBER_PR_CHANGE)</f>
        <v>924-в</v>
      </c>
      <c r="AE35" s="2263"/>
      <c r="AF35" s="2263"/>
      <c r="AG35" s="2263"/>
      <c r="AH35" s="2263"/>
      <c r="AI35" s="2263"/>
      <c r="AJ35" s="2263"/>
      <c r="AK35" s="252"/>
      <c r="AL35" s="252"/>
      <c r="AM35" s="199"/>
      <c r="AN35" s="296"/>
      <c r="AO35" s="296"/>
      <c r="AP35" s="296"/>
      <c r="AQ35" s="296"/>
      <c r="AR35" s="296"/>
    </row>
    <row r="36" spans="1:44" s="1936" customFormat="1" ht="0" hidden="1" customHeight="1">
      <c r="A36" s="1284"/>
      <c r="B36" s="1284"/>
      <c r="C36" s="1284"/>
      <c r="D36" s="1284"/>
      <c r="E36" s="1284"/>
      <c r="F36" s="1284"/>
      <c r="G36" s="1284"/>
      <c r="H36" s="1284"/>
      <c r="I36" s="1284"/>
      <c r="J36" s="1284"/>
      <c r="K36" s="1284"/>
      <c r="L36" s="1285"/>
      <c r="M36" s="1284"/>
      <c r="N36" s="1284"/>
      <c r="O36" s="1284"/>
      <c r="S36" s="248"/>
      <c r="T36" s="248"/>
      <c r="U36" s="1257"/>
      <c r="V36" s="252"/>
      <c r="W36" s="252"/>
      <c r="X36" s="252"/>
      <c r="Y36" s="252"/>
      <c r="Z36" s="252"/>
      <c r="AA36" s="252"/>
      <c r="AB36" s="252"/>
      <c r="AC36" s="197" t="s">
        <v>416</v>
      </c>
      <c r="AD36" s="252"/>
      <c r="AE36" s="252"/>
      <c r="AF36" s="252"/>
      <c r="AG36" s="252"/>
      <c r="AH36" s="252"/>
      <c r="AI36" s="252"/>
      <c r="AJ36" s="252"/>
      <c r="AK36" s="197" t="s">
        <v>416</v>
      </c>
      <c r="AN36" s="296"/>
      <c r="AO36" s="296"/>
      <c r="AP36" s="296"/>
      <c r="AQ36" s="296"/>
      <c r="AR36" s="296"/>
    </row>
    <row r="37" spans="1:44" ht="14.25" customHeight="1">
      <c r="Q37" s="305"/>
      <c r="R37" s="305"/>
      <c r="S37" s="1195"/>
      <c r="T37" s="290"/>
      <c r="U37" s="1153"/>
      <c r="V37" s="2264"/>
      <c r="W37" s="2264"/>
      <c r="X37" s="2264"/>
      <c r="Y37" s="2264"/>
      <c r="Z37" s="2264"/>
      <c r="AA37" s="2264"/>
      <c r="AB37" s="2264"/>
      <c r="AC37" s="2264"/>
      <c r="AD37" s="2264"/>
      <c r="AE37" s="2264"/>
      <c r="AF37" s="2264"/>
      <c r="AG37" s="2264"/>
      <c r="AH37" s="2264"/>
      <c r="AI37" s="2264"/>
      <c r="AJ37" s="2264"/>
      <c r="AK37" s="2264"/>
    </row>
    <row r="38" spans="1:44" ht="14.25" customHeight="1">
      <c r="Q38" s="305"/>
      <c r="R38" s="305"/>
      <c r="S38" s="2143" t="s">
        <v>289</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290</v>
      </c>
    </row>
    <row r="39" spans="1:44" ht="14.25" customHeight="1">
      <c r="Q39" s="305"/>
      <c r="R39" s="305"/>
      <c r="S39" s="2278" t="s">
        <v>87</v>
      </c>
      <c r="T39" s="2229" t="s">
        <v>417</v>
      </c>
      <c r="U39" s="219"/>
      <c r="V39" s="2279" t="s">
        <v>418</v>
      </c>
      <c r="W39" s="2280"/>
      <c r="X39" s="2280"/>
      <c r="Y39" s="2280"/>
      <c r="Z39" s="2280"/>
      <c r="AA39" s="2280"/>
      <c r="AB39" s="2281"/>
      <c r="AC39" s="2282" t="s">
        <v>419</v>
      </c>
      <c r="AD39" s="2279" t="s">
        <v>418</v>
      </c>
      <c r="AE39" s="2280"/>
      <c r="AF39" s="2280"/>
      <c r="AG39" s="2280"/>
      <c r="AH39" s="2280"/>
      <c r="AI39" s="2280"/>
      <c r="AJ39" s="2281"/>
      <c r="AK39" s="2282" t="s">
        <v>420</v>
      </c>
      <c r="AL39" s="2285" t="s">
        <v>421</v>
      </c>
      <c r="AM39" s="2143"/>
    </row>
    <row r="40" spans="1:44" ht="33.75" customHeight="1">
      <c r="Q40" s="305"/>
      <c r="R40" s="305"/>
      <c r="S40" s="2278"/>
      <c r="T40" s="2229"/>
      <c r="U40" s="938"/>
      <c r="V40" s="2199" t="s">
        <v>422</v>
      </c>
      <c r="W40" s="2288"/>
      <c r="X40" s="2115" t="s">
        <v>424</v>
      </c>
      <c r="Y40" s="2114"/>
      <c r="Z40" s="2115" t="s">
        <v>425</v>
      </c>
      <c r="AA40" s="2120"/>
      <c r="AB40" s="2114"/>
      <c r="AC40" s="2283"/>
      <c r="AD40" s="2199" t="s">
        <v>422</v>
      </c>
      <c r="AE40" s="2288"/>
      <c r="AF40" s="2115" t="s">
        <v>424</v>
      </c>
      <c r="AG40" s="2114"/>
      <c r="AH40" s="2115" t="s">
        <v>425</v>
      </c>
      <c r="AI40" s="2120"/>
      <c r="AJ40" s="2114"/>
      <c r="AK40" s="2283"/>
      <c r="AL40" s="2286"/>
      <c r="AM40" s="2143"/>
    </row>
    <row r="41" spans="1:44" ht="33.75" customHeight="1">
      <c r="A41" s="1286"/>
      <c r="B41" s="1286" t="s">
        <v>134</v>
      </c>
      <c r="C41" s="1286" t="s">
        <v>135</v>
      </c>
      <c r="D41" s="1286" t="s">
        <v>136</v>
      </c>
      <c r="E41" s="1280" t="s">
        <v>426</v>
      </c>
      <c r="F41" s="1280" t="s">
        <v>427</v>
      </c>
      <c r="G41" s="1280" t="s">
        <v>428</v>
      </c>
      <c r="H41" s="1280" t="s">
        <v>429</v>
      </c>
      <c r="I41" s="1280" t="s">
        <v>430</v>
      </c>
      <c r="J41" s="1280" t="s">
        <v>431</v>
      </c>
      <c r="K41" s="1280" t="s">
        <v>432</v>
      </c>
      <c r="L41" s="1280" t="s">
        <v>407</v>
      </c>
      <c r="Q41" s="305"/>
      <c r="R41" s="305"/>
      <c r="S41" s="2278"/>
      <c r="T41" s="2229"/>
      <c r="U41" s="220"/>
      <c r="V41" s="2249"/>
      <c r="W41" s="2289"/>
      <c r="X41" s="1128" t="s">
        <v>433</v>
      </c>
      <c r="Y41" s="1128" t="s">
        <v>434</v>
      </c>
      <c r="Z41" s="1255" t="s">
        <v>435</v>
      </c>
      <c r="AA41" s="2238" t="s">
        <v>436</v>
      </c>
      <c r="AB41" s="2240"/>
      <c r="AC41" s="2284"/>
      <c r="AD41" s="2249"/>
      <c r="AE41" s="2289"/>
      <c r="AF41" s="1128" t="s">
        <v>433</v>
      </c>
      <c r="AG41" s="1128" t="s">
        <v>434</v>
      </c>
      <c r="AH41" s="1255" t="s">
        <v>435</v>
      </c>
      <c r="AI41" s="2238" t="s">
        <v>436</v>
      </c>
      <c r="AJ41" s="2240"/>
      <c r="AK41" s="2284"/>
      <c r="AL41" s="2287"/>
      <c r="AM41" s="2143"/>
    </row>
    <row r="42" spans="1:44" s="1819" customFormat="1" ht="11.25" hidden="1" customHeight="1">
      <c r="A42" s="1286"/>
      <c r="B42" s="1286"/>
      <c r="C42" s="1286"/>
      <c r="D42" s="1286"/>
      <c r="E42" s="1286"/>
      <c r="F42" s="1286"/>
      <c r="G42" s="1286"/>
      <c r="H42" s="1286"/>
      <c r="I42" s="1286"/>
      <c r="J42" s="1286"/>
      <c r="K42" s="1286"/>
      <c r="L42" s="1280"/>
      <c r="M42" s="1278"/>
      <c r="N42" s="1278"/>
      <c r="O42" s="1278"/>
      <c r="P42" s="1155"/>
      <c r="Q42" s="1156"/>
      <c r="R42" s="1171">
        <v>1</v>
      </c>
      <c r="S42" s="1197" t="s">
        <v>108</v>
      </c>
      <c r="T42" s="1172" t="s">
        <v>109</v>
      </c>
      <c r="U42" s="1154" t="str">
        <f ca="1">OFFSET(U42,0,-1)</f>
        <v>2</v>
      </c>
      <c r="V42" s="1252">
        <f ca="1">OFFSET(V42,0,-1)+1</f>
        <v>3</v>
      </c>
      <c r="W42" s="1252"/>
      <c r="X42" s="1252">
        <f ca="1">OFFSET(X42,0,-1)+1</f>
        <v>1</v>
      </c>
      <c r="Y42" s="1252">
        <f ca="1">OFFSET(Y42,0,-1)+1</f>
        <v>2</v>
      </c>
      <c r="Z42" s="1252">
        <f ca="1">OFFSET(Z42,0,-1)+1</f>
        <v>3</v>
      </c>
      <c r="AA42" s="2277">
        <f ca="1">OFFSET(AA42,0,-1)+1</f>
        <v>4</v>
      </c>
      <c r="AB42" s="2277"/>
      <c r="AC42" s="1252">
        <f ca="1">OFFSET(AC42,0,-2)+1</f>
        <v>5</v>
      </c>
      <c r="AD42" s="1252">
        <f ca="1">OFFSET(AD42,0,-1)+1</f>
        <v>6</v>
      </c>
      <c r="AE42" s="1252"/>
      <c r="AF42" s="1252">
        <f ca="1">OFFSET(AF42,0,-1)+1</f>
        <v>1</v>
      </c>
      <c r="AG42" s="1252">
        <f ca="1">OFFSET(AG42,0,-1)+1</f>
        <v>2</v>
      </c>
      <c r="AH42" s="1252">
        <f ca="1">OFFSET(AH42,0,-1)+1</f>
        <v>3</v>
      </c>
      <c r="AI42" s="2277">
        <f ca="1">OFFSET(AI42,0,-1)+1</f>
        <v>4</v>
      </c>
      <c r="AJ42" s="2277"/>
      <c r="AK42" s="1252">
        <f ca="1">OFFSET(AK42,0,-2)+1</f>
        <v>5</v>
      </c>
      <c r="AL42" s="1154">
        <f ca="1">OFFSET(AL42,0,-1)</f>
        <v>5</v>
      </c>
      <c r="AM42" s="1252">
        <f ca="1">OFFSET(AM42,0,-1)+1</f>
        <v>6</v>
      </c>
      <c r="AN42" s="437"/>
      <c r="AO42" s="437"/>
      <c r="AP42" s="437"/>
      <c r="AQ42" s="437"/>
      <c r="AR42" s="437"/>
    </row>
    <row r="43" spans="1:44" ht="21" customHeight="1">
      <c r="A43" s="1279" t="s">
        <v>179</v>
      </c>
      <c r="B43" s="1279"/>
      <c r="C43" s="1279"/>
      <c r="D43" s="1279"/>
      <c r="E43" s="2270">
        <v>1</v>
      </c>
      <c r="F43" s="1279"/>
      <c r="G43" s="1279"/>
      <c r="H43" s="1279"/>
      <c r="I43" s="1279"/>
      <c r="J43" s="1279"/>
      <c r="K43" s="1279"/>
      <c r="L43" s="1280"/>
      <c r="M43" s="1281"/>
      <c r="N43" s="1281"/>
      <c r="O43" s="1281"/>
      <c r="P43" s="286"/>
      <c r="Q43" s="285"/>
      <c r="R43" s="280"/>
      <c r="S43" s="1253">
        <f>INDEX(PT_DIFFERENTIATION_NUM_NTAR,MATCH(A43,PT_DIFFERENTIATION_NTAR_ID,0))</f>
        <v>0</v>
      </c>
      <c r="T43" s="216" t="s">
        <v>122</v>
      </c>
      <c r="U43" s="218"/>
      <c r="V43" s="2256"/>
      <c r="W43" s="2257"/>
      <c r="X43" s="2257"/>
      <c r="Y43" s="2257"/>
      <c r="Z43" s="2257"/>
      <c r="AA43" s="2257"/>
      <c r="AB43" s="2257"/>
      <c r="AC43" s="2258"/>
      <c r="AD43" s="2256" t="str">
        <f>INDEX(PT_DIFFERENTIATION_NTAR,MATCH(A43,PT_DIFFERENTIATION_NTAR_ID,0))</f>
        <v/>
      </c>
      <c r="AE43" s="2257"/>
      <c r="AF43" s="2257"/>
      <c r="AG43" s="2257"/>
      <c r="AH43" s="2257"/>
      <c r="AI43" s="2257"/>
      <c r="AJ43" s="2257"/>
      <c r="AK43" s="2257"/>
      <c r="AL43" s="2258"/>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6"/>
      <c r="AP43" s="426" t="str">
        <f t="shared" ref="AP43:AP57" si="1">IF(T43="","",T43)</f>
        <v>Наименование тарифа</v>
      </c>
      <c r="AQ43" s="426"/>
      <c r="AR43" s="426"/>
    </row>
    <row r="44" spans="1:44" ht="21" customHeight="1">
      <c r="A44" s="1279" t="s">
        <v>179</v>
      </c>
      <c r="B44" s="1279" t="s">
        <v>180</v>
      </c>
      <c r="C44" s="1279"/>
      <c r="D44" s="1279"/>
      <c r="E44" s="2271"/>
      <c r="F44" s="2270">
        <v>1</v>
      </c>
      <c r="G44" s="1279"/>
      <c r="H44" s="1279"/>
      <c r="I44" s="1279"/>
      <c r="J44" s="1279"/>
      <c r="K44" s="1279"/>
      <c r="L44" s="1280"/>
      <c r="M44" s="1281"/>
      <c r="N44" s="1281"/>
      <c r="O44" s="1281"/>
      <c r="P44" s="1249"/>
      <c r="Q44" s="277"/>
      <c r="R44" s="278"/>
      <c r="S44" s="1253" t="str">
        <f>INDEX(PT_DIFFERENTIATION_NUM_TER,MATCH(B44,PT_DIFFERENTIATION_TER_ID,0))</f>
        <v>.</v>
      </c>
      <c r="T44" s="228" t="s">
        <v>388</v>
      </c>
      <c r="U44" s="218"/>
      <c r="V44" s="2256"/>
      <c r="W44" s="2257"/>
      <c r="X44" s="2257"/>
      <c r="Y44" s="2257"/>
      <c r="Z44" s="2257"/>
      <c r="AA44" s="2257"/>
      <c r="AB44" s="2257"/>
      <c r="AC44" s="2258"/>
      <c r="AD44" s="2256" t="str">
        <f>INDEX(PT_DIFFERENTIATION_TER,MATCH(B44,PT_DIFFERENTIATION_TER_ID,0))</f>
        <v/>
      </c>
      <c r="AE44" s="2257"/>
      <c r="AF44" s="2257"/>
      <c r="AG44" s="2257"/>
      <c r="AH44" s="2257"/>
      <c r="AI44" s="2257"/>
      <c r="AJ44" s="2257"/>
      <c r="AK44" s="2257"/>
      <c r="AL44" s="2258"/>
      <c r="AM44" s="1177" t="s">
        <v>389</v>
      </c>
      <c r="AO44" s="426"/>
      <c r="AP44" s="426" t="str">
        <f t="shared" si="1"/>
        <v>Территория действия тарифа</v>
      </c>
      <c r="AQ44" s="426"/>
      <c r="AR44" s="426"/>
    </row>
    <row r="45" spans="1:44" ht="23.25" customHeight="1">
      <c r="A45" s="1279" t="s">
        <v>179</v>
      </c>
      <c r="B45" s="1279" t="s">
        <v>180</v>
      </c>
      <c r="C45" s="1279" t="s">
        <v>181</v>
      </c>
      <c r="D45" s="1279"/>
      <c r="E45" s="2271"/>
      <c r="F45" s="2271"/>
      <c r="G45" s="2270">
        <v>1</v>
      </c>
      <c r="H45" s="1279"/>
      <c r="I45" s="1279"/>
      <c r="J45" s="1279"/>
      <c r="K45" s="1279"/>
      <c r="L45" s="1280"/>
      <c r="M45" s="1281"/>
      <c r="N45" s="1281"/>
      <c r="O45" s="1281"/>
      <c r="P45" s="279"/>
      <c r="Q45" s="277"/>
      <c r="R45" s="278"/>
      <c r="S45" s="1253" t="str">
        <f>INDEX(PT_DIFFERENTIATION_NUM_CS,MATCH(C45,PT_DIFFERENTIATION_CS_ID,0))</f>
        <v>..</v>
      </c>
      <c r="T45" s="229" t="s">
        <v>390</v>
      </c>
      <c r="U45" s="218"/>
      <c r="V45" s="2256"/>
      <c r="W45" s="2257"/>
      <c r="X45" s="2257"/>
      <c r="Y45" s="2257"/>
      <c r="Z45" s="2257"/>
      <c r="AA45" s="2257"/>
      <c r="AB45" s="2257"/>
      <c r="AC45" s="2258"/>
      <c r="AD45" s="2256" t="str">
        <f>INDEX(PT_DIFFERENTIATION_CS,MATCH(C45,PT_DIFFERENTIATION_CS_ID,0))</f>
        <v/>
      </c>
      <c r="AE45" s="2257"/>
      <c r="AF45" s="2257"/>
      <c r="AG45" s="2257"/>
      <c r="AH45" s="2257"/>
      <c r="AI45" s="2257"/>
      <c r="AJ45" s="2257"/>
      <c r="AK45" s="2257"/>
      <c r="AL45" s="2258"/>
      <c r="AM45" s="1177" t="s">
        <v>391</v>
      </c>
      <c r="AO45" s="426"/>
      <c r="AP45" s="426" t="str">
        <f t="shared" si="1"/>
        <v xml:space="preserve">Наименование системы теплоснабжения </v>
      </c>
      <c r="AQ45" s="426"/>
      <c r="AR45" s="426"/>
    </row>
    <row r="46" spans="1:44" ht="21" customHeight="1">
      <c r="A46" s="1279" t="s">
        <v>179</v>
      </c>
      <c r="B46" s="1279" t="s">
        <v>180</v>
      </c>
      <c r="C46" s="1279" t="s">
        <v>181</v>
      </c>
      <c r="D46" s="1279" t="s">
        <v>182</v>
      </c>
      <c r="E46" s="2271"/>
      <c r="F46" s="2271"/>
      <c r="G46" s="2271"/>
      <c r="H46" s="2270">
        <v>1</v>
      </c>
      <c r="I46" s="1279"/>
      <c r="J46" s="1279"/>
      <c r="K46" s="1279"/>
      <c r="L46" s="1280"/>
      <c r="M46" s="1281"/>
      <c r="N46" s="1281"/>
      <c r="O46" s="1281"/>
      <c r="P46" s="279"/>
      <c r="Q46" s="277"/>
      <c r="R46" s="278"/>
      <c r="S46" s="1253" t="str">
        <f>INDEX(PT_DIFFERENTIATION_NUM_IST_TE,MATCH(D46,PT_DIFFERENTIATION_IST_TE_ID,0))</f>
        <v>...</v>
      </c>
      <c r="T46" s="230" t="s">
        <v>392</v>
      </c>
      <c r="U46" s="218"/>
      <c r="V46" s="2256"/>
      <c r="W46" s="2257"/>
      <c r="X46" s="2257"/>
      <c r="Y46" s="2257"/>
      <c r="Z46" s="2257"/>
      <c r="AA46" s="2257"/>
      <c r="AB46" s="2257"/>
      <c r="AC46" s="2258"/>
      <c r="AD46" s="2256" t="str">
        <f>INDEX(PT_DIFFERENTIATION_IST_TE,MATCH(D46,PT_DIFFERENTIATION_IST_TE_ID,0))</f>
        <v/>
      </c>
      <c r="AE46" s="2257"/>
      <c r="AF46" s="2257"/>
      <c r="AG46" s="2257"/>
      <c r="AH46" s="2257"/>
      <c r="AI46" s="2257"/>
      <c r="AJ46" s="2257"/>
      <c r="AK46" s="2257"/>
      <c r="AL46" s="2258"/>
      <c r="AM46" s="1177" t="s">
        <v>393</v>
      </c>
      <c r="AO46" s="426"/>
      <c r="AP46" s="426" t="str">
        <f t="shared" si="1"/>
        <v xml:space="preserve">Источник тепловой энергии  </v>
      </c>
      <c r="AQ46" s="426"/>
      <c r="AR46" s="426"/>
    </row>
    <row r="47" spans="1:44" s="1820" customFormat="1" ht="0" hidden="1" customHeight="1">
      <c r="A47" s="1260" t="s">
        <v>179</v>
      </c>
      <c r="B47" s="1260" t="s">
        <v>180</v>
      </c>
      <c r="C47" s="1260" t="s">
        <v>181</v>
      </c>
      <c r="D47" s="1260" t="s">
        <v>182</v>
      </c>
      <c r="E47" s="2271"/>
      <c r="F47" s="2271"/>
      <c r="G47" s="2271"/>
      <c r="H47" s="2271"/>
      <c r="I47" s="2268" t="str">
        <f>S46&amp;".1"</f>
        <v>....1</v>
      </c>
      <c r="J47" s="1260"/>
      <c r="K47" s="1260"/>
      <c r="L47" s="1263" t="s">
        <v>394</v>
      </c>
      <c r="M47" s="436"/>
      <c r="N47" s="436"/>
      <c r="O47" s="436"/>
      <c r="P47" s="2269">
        <v>1</v>
      </c>
      <c r="Q47" s="1248"/>
      <c r="R47" s="281"/>
      <c r="S47" s="949"/>
      <c r="T47" s="1299"/>
      <c r="U47" s="1300"/>
      <c r="V47" s="2297"/>
      <c r="W47" s="2298"/>
      <c r="X47" s="2298"/>
      <c r="Y47" s="2298"/>
      <c r="Z47" s="2298"/>
      <c r="AA47" s="2298"/>
      <c r="AB47" s="2298"/>
      <c r="AC47" s="2299"/>
      <c r="AD47" s="2297"/>
      <c r="AE47" s="2298"/>
      <c r="AF47" s="2298"/>
      <c r="AG47" s="2298"/>
      <c r="AH47" s="2298"/>
      <c r="AI47" s="2298"/>
      <c r="AJ47" s="2298"/>
      <c r="AK47" s="2298"/>
      <c r="AL47" s="2299"/>
      <c r="AM47" s="1301"/>
      <c r="AO47" s="426"/>
      <c r="AP47" s="426" t="str">
        <f t="shared" si="1"/>
        <v/>
      </c>
      <c r="AQ47" s="426"/>
      <c r="AR47" s="426"/>
    </row>
    <row r="48" spans="1:44" ht="21" customHeight="1">
      <c r="A48" s="1279" t="s">
        <v>179</v>
      </c>
      <c r="B48" s="1279" t="s">
        <v>180</v>
      </c>
      <c r="C48" s="1279" t="s">
        <v>181</v>
      </c>
      <c r="D48" s="1279" t="s">
        <v>182</v>
      </c>
      <c r="E48" s="2271"/>
      <c r="F48" s="2271"/>
      <c r="G48" s="2271"/>
      <c r="H48" s="2271"/>
      <c r="I48" s="2291"/>
      <c r="J48" s="2268" t="str">
        <f>S46&amp;".1"</f>
        <v>....1</v>
      </c>
      <c r="K48" s="1279"/>
      <c r="L48" s="1280" t="s">
        <v>397</v>
      </c>
      <c r="P48" s="2269"/>
      <c r="Q48" s="2269">
        <v>1</v>
      </c>
      <c r="R48" s="282"/>
      <c r="S48" s="1253" t="str">
        <f>$J48</f>
        <v>....1</v>
      </c>
      <c r="T48" s="204" t="s">
        <v>398</v>
      </c>
      <c r="U48" s="218"/>
      <c r="V48" s="2259"/>
      <c r="W48" s="2260"/>
      <c r="X48" s="2260"/>
      <c r="Y48" s="2260"/>
      <c r="Z48" s="2260"/>
      <c r="AA48" s="2260"/>
      <c r="AB48" s="2260"/>
      <c r="AC48" s="2261"/>
      <c r="AD48" s="2259"/>
      <c r="AE48" s="2260"/>
      <c r="AF48" s="2260"/>
      <c r="AG48" s="2260"/>
      <c r="AH48" s="2260"/>
      <c r="AI48" s="2260"/>
      <c r="AJ48" s="2260"/>
      <c r="AK48" s="2260"/>
      <c r="AL48" s="2261"/>
      <c r="AM48" s="1177" t="s">
        <v>399</v>
      </c>
      <c r="AO48" s="426"/>
      <c r="AP48" s="426" t="str">
        <f t="shared" si="1"/>
        <v>Группа потребителей</v>
      </c>
      <c r="AQ48" s="426"/>
      <c r="AR48" s="426"/>
    </row>
    <row r="49" spans="1:44" ht="21" customHeight="1">
      <c r="A49" s="1279" t="s">
        <v>179</v>
      </c>
      <c r="B49" s="1279" t="s">
        <v>180</v>
      </c>
      <c r="C49" s="1279" t="s">
        <v>181</v>
      </c>
      <c r="D49" s="1279" t="s">
        <v>182</v>
      </c>
      <c r="E49" s="2271"/>
      <c r="F49" s="2271"/>
      <c r="G49" s="2271"/>
      <c r="H49" s="2271"/>
      <c r="I49" s="2291"/>
      <c r="J49" s="2291"/>
      <c r="K49" s="2268" t="str">
        <f>J48&amp;".1"</f>
        <v>....1.1</v>
      </c>
      <c r="L49" s="1280" t="s">
        <v>400</v>
      </c>
      <c r="P49" s="2269"/>
      <c r="Q49" s="2269"/>
      <c r="R49" s="282">
        <v>1</v>
      </c>
      <c r="S49" s="1253" t="str">
        <f>$K49</f>
        <v>....1.1</v>
      </c>
      <c r="T49" s="1264"/>
      <c r="U49" s="218"/>
      <c r="V49" s="668"/>
      <c r="W49" s="250"/>
      <c r="X49" s="668"/>
      <c r="Y49" s="1176"/>
      <c r="Z49" s="2273"/>
      <c r="AA49" s="2124" t="s">
        <v>61</v>
      </c>
      <c r="AB49" s="2273"/>
      <c r="AC49" s="2124" t="s">
        <v>61</v>
      </c>
      <c r="AD49" s="668"/>
      <c r="AE49" s="250"/>
      <c r="AF49" s="668"/>
      <c r="AG49" s="1176"/>
      <c r="AH49" s="2273"/>
      <c r="AI49" s="2124" t="s">
        <v>61</v>
      </c>
      <c r="AJ49" s="2292"/>
      <c r="AK49" s="2124" t="s">
        <v>61</v>
      </c>
      <c r="AL49" s="1265"/>
      <c r="AM49" s="2265" t="s">
        <v>438</v>
      </c>
      <c r="AN49" s="437" t="e">
        <f ca="1">STRCHECKDATE(V50:AL50)</f>
        <v>#NAME?</v>
      </c>
      <c r="AO49" s="426"/>
      <c r="AP49" s="426" t="str">
        <f t="shared" si="1"/>
        <v/>
      </c>
      <c r="AQ49" s="426"/>
      <c r="AR49" s="426"/>
    </row>
    <row r="50" spans="1:44" ht="0.75" customHeight="1">
      <c r="A50" s="1279" t="s">
        <v>179</v>
      </c>
      <c r="B50" s="1279" t="s">
        <v>180</v>
      </c>
      <c r="C50" s="1279" t="s">
        <v>181</v>
      </c>
      <c r="D50" s="1279" t="s">
        <v>182</v>
      </c>
      <c r="E50" s="2271"/>
      <c r="F50" s="2271"/>
      <c r="G50" s="2271"/>
      <c r="H50" s="2271"/>
      <c r="I50" s="2291"/>
      <c r="J50" s="2291"/>
      <c r="K50" s="2268"/>
      <c r="L50" s="1280"/>
      <c r="P50" s="2269"/>
      <c r="Q50" s="2269"/>
      <c r="R50" s="282"/>
      <c r="S50" s="1259"/>
      <c r="T50" s="218"/>
      <c r="U50" s="218"/>
      <c r="V50" s="250"/>
      <c r="W50" s="250"/>
      <c r="X50" s="250"/>
      <c r="Y50" s="254" t="str">
        <f>Z49&amp;"-"&amp;AB49</f>
        <v>-</v>
      </c>
      <c r="Z50" s="2274"/>
      <c r="AA50" s="2124"/>
      <c r="AB50" s="2274"/>
      <c r="AC50" s="2124"/>
      <c r="AD50" s="250"/>
      <c r="AE50" s="250"/>
      <c r="AF50" s="250"/>
      <c r="AG50" s="254" t="str">
        <f>AH49&amp;"-"&amp;AJ49</f>
        <v>-</v>
      </c>
      <c r="AH50" s="2274"/>
      <c r="AI50" s="2124"/>
      <c r="AJ50" s="2293"/>
      <c r="AK50" s="2124"/>
      <c r="AL50" s="1266"/>
      <c r="AM50" s="2266"/>
      <c r="AO50" s="426"/>
      <c r="AP50" s="426" t="str">
        <f t="shared" si="1"/>
        <v/>
      </c>
      <c r="AQ50" s="426"/>
      <c r="AR50" s="426"/>
    </row>
    <row r="51" spans="1:44" ht="11.25" customHeight="1">
      <c r="A51" s="1279" t="s">
        <v>179</v>
      </c>
      <c r="B51" s="1279" t="s">
        <v>180</v>
      </c>
      <c r="C51" s="1279" t="s">
        <v>181</v>
      </c>
      <c r="D51" s="1279" t="s">
        <v>182</v>
      </c>
      <c r="E51" s="2271"/>
      <c r="F51" s="2271"/>
      <c r="G51" s="2271"/>
      <c r="H51" s="2271"/>
      <c r="I51" s="2291"/>
      <c r="J51" s="2268"/>
      <c r="K51" s="1279"/>
      <c r="L51" s="1280"/>
      <c r="P51" s="2269"/>
      <c r="Q51" s="2269"/>
      <c r="R51" s="281"/>
      <c r="S51" s="1198"/>
      <c r="T51" s="205" t="s">
        <v>402</v>
      </c>
      <c r="U51" s="295"/>
      <c r="V51" s="295"/>
      <c r="W51" s="295"/>
      <c r="X51" s="295"/>
      <c r="Y51" s="295"/>
      <c r="Z51" s="295"/>
      <c r="AA51" s="295"/>
      <c r="AB51" s="295"/>
      <c r="AC51" s="295"/>
      <c r="AD51" s="295"/>
      <c r="AE51" s="295"/>
      <c r="AF51" s="295"/>
      <c r="AG51" s="295"/>
      <c r="AH51" s="295"/>
      <c r="AI51" s="295"/>
      <c r="AJ51" s="295"/>
      <c r="AK51" s="295"/>
      <c r="AL51" s="249"/>
      <c r="AM51" s="2267"/>
      <c r="AO51" s="426"/>
      <c r="AP51" s="426" t="str">
        <f t="shared" si="1"/>
        <v>Добавить вид теплоносителя (параметры теплоносителя)</v>
      </c>
      <c r="AQ51" s="426"/>
      <c r="AR51" s="426"/>
    </row>
    <row r="52" spans="1:44" ht="11.25" customHeight="1">
      <c r="A52" s="1279" t="s">
        <v>179</v>
      </c>
      <c r="B52" s="1279" t="s">
        <v>180</v>
      </c>
      <c r="C52" s="1279" t="s">
        <v>181</v>
      </c>
      <c r="D52" s="1279" t="s">
        <v>182</v>
      </c>
      <c r="E52" s="2271"/>
      <c r="F52" s="2271"/>
      <c r="G52" s="2271"/>
      <c r="H52" s="2271"/>
      <c r="I52" s="2268"/>
      <c r="J52" s="1279"/>
      <c r="K52" s="1279"/>
      <c r="L52" s="1280"/>
      <c r="P52" s="2269"/>
      <c r="Q52" s="1248"/>
      <c r="R52" s="281"/>
      <c r="S52" s="1198"/>
      <c r="T52" s="292" t="s">
        <v>403</v>
      </c>
      <c r="U52" s="295"/>
      <c r="V52" s="295"/>
      <c r="W52" s="295"/>
      <c r="X52" s="295"/>
      <c r="Y52" s="295"/>
      <c r="Z52" s="295"/>
      <c r="AA52" s="295"/>
      <c r="AB52" s="295"/>
      <c r="AC52" s="294"/>
      <c r="AD52" s="295"/>
      <c r="AE52" s="295"/>
      <c r="AF52" s="295"/>
      <c r="AG52" s="295"/>
      <c r="AH52" s="295"/>
      <c r="AI52" s="295"/>
      <c r="AJ52" s="295"/>
      <c r="AK52" s="294"/>
      <c r="AL52" s="295"/>
      <c r="AM52" s="221"/>
      <c r="AO52" s="426"/>
      <c r="AP52" s="426" t="str">
        <f t="shared" si="1"/>
        <v>Добавить группу потребителей</v>
      </c>
      <c r="AQ52" s="426"/>
      <c r="AR52" s="426"/>
    </row>
    <row r="53" spans="1:44" ht="0" hidden="1" customHeight="1">
      <c r="A53" s="1279" t="s">
        <v>179</v>
      </c>
      <c r="B53" s="1279" t="s">
        <v>180</v>
      </c>
      <c r="C53" s="1279" t="s">
        <v>181</v>
      </c>
      <c r="D53" s="1279" t="s">
        <v>182</v>
      </c>
      <c r="E53" s="2271"/>
      <c r="F53" s="2271"/>
      <c r="G53" s="2271"/>
      <c r="H53" s="2270"/>
      <c r="I53" s="1279"/>
      <c r="J53" s="1279"/>
      <c r="K53" s="1279"/>
      <c r="L53" s="1280"/>
      <c r="M53" s="1281"/>
      <c r="N53" s="1281"/>
      <c r="O53" s="462"/>
      <c r="P53" s="285"/>
      <c r="Q53" s="304"/>
      <c r="R53" s="280"/>
      <c r="S53" s="1302"/>
      <c r="T53" s="1303"/>
      <c r="U53" s="1304"/>
      <c r="V53" s="1304"/>
      <c r="W53" s="1304"/>
      <c r="X53" s="1304"/>
      <c r="Y53" s="1304"/>
      <c r="Z53" s="1304"/>
      <c r="AA53" s="1304"/>
      <c r="AB53" s="1304"/>
      <c r="AC53" s="1304"/>
      <c r="AD53" s="1304"/>
      <c r="AE53" s="1304"/>
      <c r="AF53" s="1304"/>
      <c r="AG53" s="1304"/>
      <c r="AH53" s="1304"/>
      <c r="AI53" s="1304"/>
      <c r="AJ53" s="1304"/>
      <c r="AK53" s="1304"/>
      <c r="AL53" s="1304"/>
      <c r="AM53" s="1305"/>
      <c r="AO53" s="426"/>
      <c r="AP53" s="426" t="str">
        <f t="shared" si="1"/>
        <v/>
      </c>
      <c r="AQ53" s="426"/>
      <c r="AR53" s="426"/>
    </row>
    <row r="54" spans="1:44" s="1930" customFormat="1" ht="0.75" customHeight="1">
      <c r="A54" s="1260" t="s">
        <v>179</v>
      </c>
      <c r="B54" s="1260" t="s">
        <v>180</v>
      </c>
      <c r="C54" s="1260" t="s">
        <v>181</v>
      </c>
      <c r="D54" s="1232"/>
      <c r="E54" s="2271"/>
      <c r="F54" s="2271"/>
      <c r="G54" s="2270"/>
      <c r="H54" s="1232"/>
      <c r="I54" s="1232"/>
      <c r="J54" s="1232"/>
      <c r="K54" s="1232"/>
      <c r="L54" s="1256"/>
      <c r="M54" s="1233"/>
      <c r="N54" s="1233"/>
      <c r="P54" s="1234"/>
      <c r="Q54" s="1235"/>
      <c r="R54" s="1234"/>
      <c r="S54" s="1240"/>
      <c r="T54" s="1243" t="s">
        <v>405</v>
      </c>
      <c r="U54" s="1242"/>
      <c r="V54" s="1242"/>
      <c r="W54" s="1242"/>
      <c r="X54" s="1242"/>
      <c r="Y54" s="1242"/>
      <c r="Z54" s="1242"/>
      <c r="AA54" s="1242"/>
      <c r="AB54" s="1242"/>
      <c r="AC54" s="1242"/>
      <c r="AD54" s="1242"/>
      <c r="AE54" s="1242"/>
      <c r="AF54" s="1242"/>
      <c r="AG54" s="1242"/>
      <c r="AH54" s="1242"/>
      <c r="AI54" s="1242"/>
      <c r="AJ54" s="1242"/>
      <c r="AK54" s="1242"/>
      <c r="AL54" s="1242"/>
      <c r="AM54" s="1242"/>
      <c r="AO54" s="706"/>
      <c r="AP54" s="706" t="str">
        <f t="shared" si="1"/>
        <v>Добавить источник для дифференциации</v>
      </c>
      <c r="AQ54" s="706"/>
      <c r="AR54" s="706"/>
    </row>
    <row r="55" spans="1:44" s="1930" customFormat="1" ht="0.75" customHeight="1">
      <c r="A55" s="1260" t="s">
        <v>179</v>
      </c>
      <c r="B55" s="1260" t="s">
        <v>180</v>
      </c>
      <c r="C55" s="1232"/>
      <c r="D55" s="1232"/>
      <c r="E55" s="2271"/>
      <c r="F55" s="2270"/>
      <c r="G55" s="1232"/>
      <c r="H55" s="1232"/>
      <c r="I55" s="1232"/>
      <c r="J55" s="1232"/>
      <c r="K55" s="1232"/>
      <c r="L55" s="1256"/>
      <c r="M55" s="1239"/>
      <c r="N55" s="1239"/>
      <c r="P55" s="1234"/>
      <c r="Q55" s="1235"/>
      <c r="R55" s="1234"/>
      <c r="S55" s="1240"/>
      <c r="T55" s="1243" t="s">
        <v>215</v>
      </c>
      <c r="U55" s="1242"/>
      <c r="V55" s="1242"/>
      <c r="W55" s="1242"/>
      <c r="X55" s="1242"/>
      <c r="Y55" s="1242"/>
      <c r="Z55" s="1242"/>
      <c r="AA55" s="1242"/>
      <c r="AB55" s="1242"/>
      <c r="AC55" s="1242"/>
      <c r="AD55" s="1242"/>
      <c r="AE55" s="1242"/>
      <c r="AF55" s="1242"/>
      <c r="AG55" s="1242"/>
      <c r="AH55" s="1242"/>
      <c r="AI55" s="1242"/>
      <c r="AJ55" s="1242"/>
      <c r="AK55" s="1242"/>
      <c r="AL55" s="1242"/>
      <c r="AM55" s="1242"/>
      <c r="AO55" s="706"/>
      <c r="AP55" s="706" t="str">
        <f t="shared" si="1"/>
        <v>Добавить централизованную систему для дифференциации</v>
      </c>
      <c r="AQ55" s="706"/>
      <c r="AR55" s="706"/>
    </row>
    <row r="56" spans="1:44" s="1820" customFormat="1" ht="0.75" customHeight="1">
      <c r="A56" s="1260" t="s">
        <v>179</v>
      </c>
      <c r="B56" s="1260"/>
      <c r="C56" s="1260"/>
      <c r="D56" s="1260"/>
      <c r="E56" s="2270"/>
      <c r="F56" s="1260"/>
      <c r="G56" s="1260"/>
      <c r="H56" s="1260"/>
      <c r="I56" s="1260"/>
      <c r="J56" s="1260"/>
      <c r="K56" s="1260"/>
      <c r="L56" s="1263"/>
      <c r="M56" s="1239"/>
      <c r="N56" s="1239"/>
      <c r="O56" s="444"/>
      <c r="P56" s="313"/>
      <c r="Q56" s="1261"/>
      <c r="R56" s="313"/>
      <c r="S56" s="1240"/>
      <c r="T56" s="1243" t="s">
        <v>216</v>
      </c>
      <c r="U56" s="1242"/>
      <c r="V56" s="1242"/>
      <c r="W56" s="1242"/>
      <c r="X56" s="1242"/>
      <c r="Y56" s="1242"/>
      <c r="Z56" s="1242"/>
      <c r="AA56" s="1242"/>
      <c r="AB56" s="1242"/>
      <c r="AC56" s="1242"/>
      <c r="AD56" s="1242"/>
      <c r="AE56" s="1242"/>
      <c r="AF56" s="1242"/>
      <c r="AG56" s="1242"/>
      <c r="AH56" s="1242"/>
      <c r="AI56" s="1242"/>
      <c r="AJ56" s="1242"/>
      <c r="AK56" s="1242"/>
      <c r="AL56" s="1242"/>
      <c r="AM56" s="1242"/>
      <c r="AO56" s="426"/>
      <c r="AP56" s="426" t="str">
        <f t="shared" si="1"/>
        <v>Добавить территорию для дифференциации</v>
      </c>
      <c r="AQ56" s="426"/>
      <c r="AR56" s="426"/>
    </row>
    <row r="57" spans="1:44" s="1930" customFormat="1" ht="0.75" customHeight="1">
      <c r="A57" s="1232"/>
      <c r="B57" s="1232"/>
      <c r="C57" s="1232"/>
      <c r="D57" s="1232"/>
      <c r="E57" s="1260"/>
      <c r="F57" s="1232"/>
      <c r="G57" s="1232"/>
      <c r="H57" s="1232"/>
      <c r="I57" s="1232"/>
      <c r="J57" s="1232"/>
      <c r="K57" s="1232"/>
      <c r="L57" s="1256"/>
      <c r="M57" s="1239"/>
      <c r="N57" s="1239"/>
      <c r="P57" s="1234"/>
      <c r="Q57" s="1235"/>
      <c r="R57" s="1234"/>
      <c r="S57" s="1240"/>
      <c r="T57" s="1243" t="s">
        <v>217</v>
      </c>
      <c r="U57" s="1242"/>
      <c r="V57" s="1242"/>
      <c r="W57" s="1242"/>
      <c r="X57" s="1242"/>
      <c r="Y57" s="1242"/>
      <c r="Z57" s="1242"/>
      <c r="AA57" s="1242"/>
      <c r="AB57" s="1242"/>
      <c r="AC57" s="1242"/>
      <c r="AD57" s="1242"/>
      <c r="AE57" s="1242"/>
      <c r="AF57" s="1242"/>
      <c r="AG57" s="1242"/>
      <c r="AH57" s="1242"/>
      <c r="AI57" s="1242"/>
      <c r="AJ57" s="1242"/>
      <c r="AK57" s="1242"/>
      <c r="AL57" s="1242"/>
      <c r="AM57" s="1242"/>
      <c r="AO57" s="706"/>
      <c r="AP57" s="706" t="str">
        <f t="shared" si="1"/>
        <v>Добавить наименование тарифа</v>
      </c>
      <c r="AQ57" s="706"/>
      <c r="AR57" s="706"/>
    </row>
    <row r="58" spans="1:44" ht="11.25" customHeight="1">
      <c r="M58" s="1060"/>
      <c r="N58" s="1060"/>
      <c r="O58" s="462"/>
      <c r="P58" s="1055"/>
      <c r="Q58" s="1055"/>
      <c r="R58" s="1055"/>
      <c r="S58" s="1055"/>
      <c r="AN58" s="1055"/>
      <c r="AO58" s="1055"/>
      <c r="AP58" s="1055"/>
      <c r="AQ58" s="1055"/>
      <c r="AR58" s="1055"/>
    </row>
    <row r="59" spans="1:44" ht="21.75" customHeight="1">
      <c r="O59" s="462"/>
      <c r="S59" s="1164"/>
      <c r="T59" s="2290"/>
      <c r="U59" s="2290"/>
      <c r="V59" s="2290"/>
      <c r="W59" s="2290"/>
      <c r="X59" s="2290"/>
      <c r="Y59" s="2290"/>
      <c r="Z59" s="2290"/>
      <c r="AA59" s="2290"/>
      <c r="AB59" s="2290"/>
      <c r="AC59" s="2290"/>
      <c r="AD59" s="2290"/>
      <c r="AE59" s="2290"/>
      <c r="AF59" s="2290"/>
      <c r="AG59" s="2290"/>
      <c r="AH59" s="2290"/>
      <c r="AI59" s="2290"/>
      <c r="AJ59" s="2290"/>
      <c r="AK59" s="2290"/>
      <c r="AL59" s="2290"/>
      <c r="AM59" s="2290"/>
    </row>
    <row r="60" spans="1:44" ht="29.25" customHeight="1">
      <c r="O60" s="462"/>
      <c r="T60" s="2290"/>
      <c r="U60" s="2290"/>
      <c r="V60" s="2290"/>
      <c r="W60" s="2290"/>
      <c r="X60" s="2290"/>
      <c r="Y60" s="2290"/>
      <c r="Z60" s="2290"/>
      <c r="AA60" s="2290"/>
      <c r="AB60" s="2290"/>
      <c r="AC60" s="2290"/>
      <c r="AD60" s="2290"/>
      <c r="AE60" s="2290"/>
      <c r="AF60" s="2290"/>
      <c r="AG60" s="2290"/>
      <c r="AH60" s="2290"/>
      <c r="AI60" s="2290"/>
      <c r="AJ60" s="2290"/>
      <c r="AK60" s="2290"/>
      <c r="AL60" s="2290"/>
      <c r="AM60" s="2290"/>
    </row>
    <row r="61" spans="1:44" ht="39.75" customHeight="1">
      <c r="O61" s="462"/>
      <c r="T61" s="2290"/>
      <c r="U61" s="2290"/>
      <c r="V61" s="2290"/>
      <c r="W61" s="2290"/>
      <c r="X61" s="2290"/>
      <c r="Y61" s="2290"/>
      <c r="Z61" s="2290"/>
      <c r="AA61" s="2290"/>
      <c r="AB61" s="2290"/>
      <c r="AC61" s="2290"/>
      <c r="AD61" s="2290"/>
      <c r="AE61" s="2290"/>
      <c r="AF61" s="2290"/>
      <c r="AG61" s="2290"/>
      <c r="AH61" s="2290"/>
      <c r="AI61" s="2290"/>
      <c r="AJ61" s="2290"/>
      <c r="AK61" s="2290"/>
      <c r="AL61" s="2290"/>
      <c r="AM61" s="2290"/>
    </row>
    <row r="62" spans="1:44" ht="14.25" customHeight="1">
      <c r="O62" s="462"/>
    </row>
    <row r="63" spans="1:44" ht="19.5" customHeight="1">
      <c r="O63" s="462"/>
      <c r="S63" s="1164"/>
      <c r="T63" s="2190"/>
      <c r="U63" s="2290"/>
      <c r="V63" s="2290"/>
      <c r="W63" s="2290"/>
      <c r="X63" s="2290"/>
      <c r="Y63" s="2290"/>
      <c r="Z63" s="2290"/>
      <c r="AA63" s="2290"/>
      <c r="AB63" s="2290"/>
      <c r="AC63" s="2290"/>
      <c r="AD63" s="2290"/>
      <c r="AE63" s="2290"/>
      <c r="AF63" s="2290"/>
      <c r="AG63" s="2290"/>
      <c r="AH63" s="2290"/>
      <c r="AI63" s="2290"/>
      <c r="AJ63" s="2290"/>
      <c r="AK63" s="2290"/>
      <c r="AL63" s="2290"/>
      <c r="AM63" s="2290"/>
    </row>
    <row r="64" spans="1:44" ht="27.75" customHeight="1">
      <c r="O64" s="462"/>
      <c r="T64" s="2290"/>
      <c r="U64" s="2290"/>
      <c r="V64" s="2290"/>
      <c r="W64" s="2290"/>
      <c r="X64" s="2290"/>
      <c r="Y64" s="2290"/>
      <c r="Z64" s="2290"/>
      <c r="AA64" s="2290"/>
      <c r="AB64" s="2290"/>
      <c r="AC64" s="2290"/>
      <c r="AD64" s="2290"/>
      <c r="AE64" s="2290"/>
      <c r="AF64" s="2290"/>
      <c r="AG64" s="2290"/>
      <c r="AH64" s="2290"/>
      <c r="AI64" s="2290"/>
      <c r="AJ64" s="2290"/>
      <c r="AK64" s="2290"/>
      <c r="AL64" s="2290"/>
      <c r="AM64" s="2290"/>
    </row>
    <row r="65" spans="20:39" ht="33.75" customHeight="1">
      <c r="T65" s="2290"/>
      <c r="U65" s="2290"/>
      <c r="V65" s="2290"/>
      <c r="W65" s="2290"/>
      <c r="X65" s="2290"/>
      <c r="Y65" s="2290"/>
      <c r="Z65" s="2290"/>
      <c r="AA65" s="2290"/>
      <c r="AB65" s="2290"/>
      <c r="AC65" s="2290"/>
      <c r="AD65" s="2290"/>
      <c r="AE65" s="2290"/>
      <c r="AF65" s="2290"/>
      <c r="AG65" s="2290"/>
      <c r="AH65" s="2290"/>
      <c r="AI65" s="2290"/>
      <c r="AJ65" s="2290"/>
      <c r="AK65" s="2290"/>
      <c r="AL65" s="2290"/>
      <c r="AM65" s="2290"/>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E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8645E-D42D-42FA-ADB5-5D8CA2163542}">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2" style="1931" hidden="1" customWidth="1"/>
    <col min="10" max="10" width="9.85546875" style="1931" hidden="1" customWidth="1"/>
    <col min="11" max="11" width="11.42578125" style="1931" hidden="1" customWidth="1"/>
    <col min="12" max="12" width="19.140625" style="1932" hidden="1" customWidth="1"/>
    <col min="13" max="14" width="12.28515625" style="1933" hidden="1" customWidth="1"/>
    <col min="15" max="15" width="23.42578125" style="1933" hidden="1" customWidth="1"/>
    <col min="16" max="16" width="3.7109375" style="1937" hidden="1" customWidth="1"/>
    <col min="17" max="18" width="3.7109375" style="1939" customWidth="1"/>
    <col min="19" max="19" width="12.7109375" style="1940" customWidth="1"/>
    <col min="20" max="20" width="32" style="1905" customWidth="1"/>
    <col min="21" max="21" width="0.140625" style="1905" customWidth="1"/>
    <col min="22" max="22" width="24.7109375" style="1905" hidden="1" customWidth="1"/>
    <col min="23" max="23" width="0.140625" style="1905" hidden="1" customWidth="1"/>
    <col min="24" max="25" width="24.7109375" style="1905" hidden="1" customWidth="1"/>
    <col min="26" max="26" width="11.7109375" style="1905" hidden="1" customWidth="1"/>
    <col min="27" max="27" width="3.7109375" style="1905" hidden="1" customWidth="1"/>
    <col min="28" max="28" width="11.7109375" style="1905" hidden="1" customWidth="1"/>
    <col min="29" max="29" width="8.5703125" style="1905" hidden="1" customWidth="1"/>
    <col min="30" max="30" width="24.7109375" style="1905" customWidth="1"/>
    <col min="31" max="31" width="0.140625" style="1905" customWidth="1"/>
    <col min="32" max="33" width="24.7109375" style="1905" customWidth="1"/>
    <col min="34" max="34" width="11.7109375" style="1905" customWidth="1"/>
    <col min="35" max="35" width="3.7109375" style="1905" customWidth="1"/>
    <col min="36" max="36" width="11.7109375" style="1905" customWidth="1"/>
    <col min="37" max="37" width="8.5703125" style="1905" hidden="1" customWidth="1"/>
    <col min="38" max="38" width="4.7109375" style="1905" customWidth="1"/>
    <col min="39" max="39" width="115.7109375" style="1905" customWidth="1"/>
    <col min="40" max="41" width="10.5703125" style="1820"/>
    <col min="42" max="42" width="11.140625" style="1820" customWidth="1"/>
    <col min="43" max="44" width="10.5703125" style="1820"/>
  </cols>
  <sheetData>
    <row r="1" spans="1:44" ht="14.25" hidden="1" customHeight="1">
      <c r="Y1" s="253"/>
      <c r="Z1" s="253"/>
      <c r="AG1" s="253"/>
      <c r="AH1" s="253"/>
    </row>
    <row r="2" spans="1:44" ht="21" hidden="1" customHeight="1">
      <c r="A2" s="1279"/>
      <c r="B2" s="1279"/>
      <c r="C2" s="1279"/>
      <c r="D2" s="1279"/>
      <c r="E2" s="2270">
        <v>1</v>
      </c>
      <c r="F2" s="1279"/>
      <c r="G2" s="1279"/>
      <c r="H2" s="1279"/>
      <c r="I2" s="1279"/>
      <c r="J2" s="1279"/>
      <c r="K2" s="1279"/>
      <c r="L2" s="1280"/>
      <c r="M2" s="1281"/>
      <c r="N2" s="1281"/>
      <c r="O2" s="1281"/>
      <c r="P2" s="286"/>
      <c r="Q2" s="285"/>
      <c r="R2" s="280"/>
      <c r="S2" s="1253" t="e">
        <f>INDEX(PT_DIFFERENTIATION_NUM_NTAR,MATCH(A2,PT_DIFFERENTIATION_NTAR_ID,0))</f>
        <v>#N/A</v>
      </c>
      <c r="T2" s="216" t="s">
        <v>122</v>
      </c>
      <c r="U2" s="218"/>
      <c r="V2" s="2256"/>
      <c r="W2" s="2257"/>
      <c r="X2" s="2257"/>
      <c r="Y2" s="2257"/>
      <c r="Z2" s="2257"/>
      <c r="AA2" s="2257"/>
      <c r="AB2" s="2257"/>
      <c r="AC2" s="2258"/>
      <c r="AD2" s="2256" t="e">
        <f>INDEX(PT_DIFFERENTIATION_NTAR,MATCH(A2,PT_DIFFERENTIATION_NTAR_ID,0))</f>
        <v>#N/A</v>
      </c>
      <c r="AE2" s="2257"/>
      <c r="AF2" s="2257"/>
      <c r="AG2" s="2257"/>
      <c r="AH2" s="2257"/>
      <c r="AI2" s="2257"/>
      <c r="AJ2" s="2257"/>
      <c r="AK2" s="2257"/>
      <c r="AL2" s="2258"/>
      <c r="AM2" s="1177" t="s">
        <v>387</v>
      </c>
      <c r="AO2" s="426"/>
      <c r="AP2" s="426" t="str">
        <f t="shared" ref="AP2:AP15" si="0">IF(T2="","",T2)</f>
        <v>Наименование тарифа</v>
      </c>
      <c r="AQ2" s="426"/>
      <c r="AR2" s="426"/>
    </row>
    <row r="3" spans="1:44" ht="21" hidden="1" customHeight="1">
      <c r="A3" s="1279"/>
      <c r="B3" s="1279"/>
      <c r="C3" s="1279"/>
      <c r="D3" s="1279"/>
      <c r="E3" s="2271"/>
      <c r="F3" s="2270">
        <v>1</v>
      </c>
      <c r="G3" s="1279"/>
      <c r="H3" s="1279"/>
      <c r="I3" s="1279"/>
      <c r="J3" s="1279"/>
      <c r="K3" s="1279"/>
      <c r="L3" s="1280"/>
      <c r="M3" s="1281"/>
      <c r="N3" s="1281"/>
      <c r="O3" s="1281"/>
      <c r="P3" s="1249"/>
      <c r="Q3" s="277"/>
      <c r="R3" s="278"/>
      <c r="S3" s="1253" t="e">
        <f>INDEX(PT_DIFFERENTIATION_NUM_TER,MATCH(B3,PT_DIFFERENTIATION_TER_ID,0))</f>
        <v>#N/A</v>
      </c>
      <c r="T3" s="228" t="s">
        <v>388</v>
      </c>
      <c r="U3" s="218"/>
      <c r="V3" s="2256"/>
      <c r="W3" s="2257"/>
      <c r="X3" s="2257"/>
      <c r="Y3" s="2257"/>
      <c r="Z3" s="2257"/>
      <c r="AA3" s="2257"/>
      <c r="AB3" s="2257"/>
      <c r="AC3" s="2258"/>
      <c r="AD3" s="2256" t="e">
        <f>INDEX(PT_DIFFERENTIATION_TER,MATCH(B3,PT_DIFFERENTIATION_TER_ID,0))</f>
        <v>#N/A</v>
      </c>
      <c r="AE3" s="2257"/>
      <c r="AF3" s="2257"/>
      <c r="AG3" s="2257"/>
      <c r="AH3" s="2257"/>
      <c r="AI3" s="2257"/>
      <c r="AJ3" s="2257"/>
      <c r="AK3" s="2257"/>
      <c r="AL3" s="2258"/>
      <c r="AM3" s="1177" t="s">
        <v>389</v>
      </c>
      <c r="AO3" s="426"/>
      <c r="AP3" s="426" t="str">
        <f t="shared" si="0"/>
        <v>Территория действия тарифа</v>
      </c>
      <c r="AQ3" s="426"/>
      <c r="AR3" s="426"/>
    </row>
    <row r="4" spans="1:44" ht="23.25" hidden="1" customHeight="1">
      <c r="A4" s="1279"/>
      <c r="B4" s="1279"/>
      <c r="C4" s="1279"/>
      <c r="D4" s="1279"/>
      <c r="E4" s="2271"/>
      <c r="F4" s="2271"/>
      <c r="G4" s="2270">
        <v>1</v>
      </c>
      <c r="H4" s="1279"/>
      <c r="I4" s="1279"/>
      <c r="J4" s="1279"/>
      <c r="K4" s="1279"/>
      <c r="L4" s="1280"/>
      <c r="M4" s="1281"/>
      <c r="N4" s="1281"/>
      <c r="O4" s="1281"/>
      <c r="P4" s="279"/>
      <c r="Q4" s="277"/>
      <c r="R4" s="278"/>
      <c r="S4" s="1253" t="e">
        <f>INDEX(PT_DIFFERENTIATION_NUM_CS,MATCH(C4,PT_DIFFERENTIATION_CS_ID,0))</f>
        <v>#N/A</v>
      </c>
      <c r="T4" s="229" t="s">
        <v>390</v>
      </c>
      <c r="U4" s="218"/>
      <c r="V4" s="2256"/>
      <c r="W4" s="2257"/>
      <c r="X4" s="2257"/>
      <c r="Y4" s="2257"/>
      <c r="Z4" s="2257"/>
      <c r="AA4" s="2257"/>
      <c r="AB4" s="2257"/>
      <c r="AC4" s="2258"/>
      <c r="AD4" s="2256" t="e">
        <f>INDEX(PT_DIFFERENTIATION_CS,MATCH(C4,PT_DIFFERENTIATION_CS_ID,0))</f>
        <v>#N/A</v>
      </c>
      <c r="AE4" s="2257"/>
      <c r="AF4" s="2257"/>
      <c r="AG4" s="2257"/>
      <c r="AH4" s="2257"/>
      <c r="AI4" s="2257"/>
      <c r="AJ4" s="2257"/>
      <c r="AK4" s="2257"/>
      <c r="AL4" s="2258"/>
      <c r="AM4" s="1177" t="s">
        <v>391</v>
      </c>
      <c r="AO4" s="426"/>
      <c r="AP4" s="426" t="str">
        <f t="shared" si="0"/>
        <v xml:space="preserve">Наименование системы теплоснабжения </v>
      </c>
      <c r="AQ4" s="426"/>
      <c r="AR4" s="426"/>
    </row>
    <row r="5" spans="1:44" ht="21" hidden="1" customHeight="1">
      <c r="A5" s="1279"/>
      <c r="B5" s="1279"/>
      <c r="C5" s="1279"/>
      <c r="D5" s="1279"/>
      <c r="E5" s="2271"/>
      <c r="F5" s="2271"/>
      <c r="G5" s="2271"/>
      <c r="H5" s="2270">
        <v>1</v>
      </c>
      <c r="I5" s="1279"/>
      <c r="J5" s="1279"/>
      <c r="K5" s="1279"/>
      <c r="L5" s="1280"/>
      <c r="M5" s="1281"/>
      <c r="N5" s="1281"/>
      <c r="O5" s="1281"/>
      <c r="P5" s="279"/>
      <c r="Q5" s="277"/>
      <c r="R5" s="278"/>
      <c r="S5" s="1253" t="e">
        <f>INDEX(PT_DIFFERENTIATION_NUM_IST_TE,MATCH(D5,PT_DIFFERENTIATION_IST_TE_ID,0))</f>
        <v>#N/A</v>
      </c>
      <c r="T5" s="230" t="s">
        <v>392</v>
      </c>
      <c r="U5" s="218"/>
      <c r="V5" s="2256"/>
      <c r="W5" s="2257"/>
      <c r="X5" s="2257"/>
      <c r="Y5" s="2257"/>
      <c r="Z5" s="2257"/>
      <c r="AA5" s="2257"/>
      <c r="AB5" s="2257"/>
      <c r="AC5" s="2258"/>
      <c r="AD5" s="2256" t="e">
        <f>INDEX(PT_DIFFERENTIATION_IST_TE,MATCH(D5,PT_DIFFERENTIATION_IST_TE_ID,0))</f>
        <v>#N/A</v>
      </c>
      <c r="AE5" s="2257"/>
      <c r="AF5" s="2257"/>
      <c r="AG5" s="2257"/>
      <c r="AH5" s="2257"/>
      <c r="AI5" s="2257"/>
      <c r="AJ5" s="2257"/>
      <c r="AK5" s="2257"/>
      <c r="AL5" s="2258"/>
      <c r="AM5" s="1177" t="s">
        <v>393</v>
      </c>
      <c r="AO5" s="426"/>
      <c r="AP5" s="426" t="str">
        <f t="shared" si="0"/>
        <v xml:space="preserve">Источник тепловой энергии  </v>
      </c>
      <c r="AQ5" s="426"/>
      <c r="AR5" s="426"/>
    </row>
    <row r="6" spans="1:44" ht="14.25" hidden="1" customHeight="1">
      <c r="A6" s="1279"/>
      <c r="B6" s="1279"/>
      <c r="C6" s="1279"/>
      <c r="D6" s="1279"/>
      <c r="E6" s="2271"/>
      <c r="F6" s="2271"/>
      <c r="G6" s="2271"/>
      <c r="H6" s="2271"/>
      <c r="I6" s="2268" t="e">
        <f>S5&amp;".1"</f>
        <v>#N/A</v>
      </c>
      <c r="J6" s="1279"/>
      <c r="K6" s="1279"/>
      <c r="L6" s="1280" t="s">
        <v>394</v>
      </c>
      <c r="M6" s="462"/>
      <c r="P6" s="2269">
        <v>1</v>
      </c>
      <c r="Q6" s="1248"/>
      <c r="R6" s="281"/>
      <c r="S6" s="949"/>
      <c r="T6" s="1299"/>
      <c r="U6" s="1300"/>
      <c r="V6" s="2297"/>
      <c r="W6" s="2298"/>
      <c r="X6" s="2298"/>
      <c r="Y6" s="2298"/>
      <c r="Z6" s="2298"/>
      <c r="AA6" s="2298"/>
      <c r="AB6" s="2298"/>
      <c r="AC6" s="2299"/>
      <c r="AD6" s="2297"/>
      <c r="AE6" s="2298"/>
      <c r="AF6" s="2298"/>
      <c r="AG6" s="2298"/>
      <c r="AH6" s="2298"/>
      <c r="AI6" s="2298"/>
      <c r="AJ6" s="2298"/>
      <c r="AK6" s="2298"/>
      <c r="AL6" s="2299"/>
      <c r="AM6" s="1301"/>
      <c r="AO6" s="426"/>
      <c r="AP6" s="426" t="str">
        <f t="shared" si="0"/>
        <v/>
      </c>
      <c r="AQ6" s="426"/>
      <c r="AR6" s="426"/>
    </row>
    <row r="7" spans="1:44" ht="21" hidden="1" customHeight="1">
      <c r="A7" s="1279"/>
      <c r="B7" s="1279"/>
      <c r="C7" s="1279"/>
      <c r="D7" s="1279"/>
      <c r="E7" s="2271"/>
      <c r="F7" s="2271"/>
      <c r="G7" s="2271"/>
      <c r="H7" s="2271"/>
      <c r="I7" s="2291"/>
      <c r="J7" s="2268" t="e">
        <f>I6&amp;".1"</f>
        <v>#N/A</v>
      </c>
      <c r="K7" s="1279"/>
      <c r="L7" s="1280" t="s">
        <v>397</v>
      </c>
      <c r="M7" s="462"/>
      <c r="N7" s="1282"/>
      <c r="P7" s="2269"/>
      <c r="Q7" s="2269">
        <v>1</v>
      </c>
      <c r="R7" s="282"/>
      <c r="S7" s="1253" t="e">
        <f>$J7</f>
        <v>#N/A</v>
      </c>
      <c r="T7" s="204" t="s">
        <v>398</v>
      </c>
      <c r="U7" s="218"/>
      <c r="V7" s="2259"/>
      <c r="W7" s="2260"/>
      <c r="X7" s="2260"/>
      <c r="Y7" s="2260"/>
      <c r="Z7" s="2260"/>
      <c r="AA7" s="2260"/>
      <c r="AB7" s="2260"/>
      <c r="AC7" s="2261"/>
      <c r="AD7" s="2259"/>
      <c r="AE7" s="2260"/>
      <c r="AF7" s="2260"/>
      <c r="AG7" s="2260"/>
      <c r="AH7" s="2260"/>
      <c r="AI7" s="2260"/>
      <c r="AJ7" s="2260"/>
      <c r="AK7" s="2260"/>
      <c r="AL7" s="2261"/>
      <c r="AM7" s="1177" t="s">
        <v>399</v>
      </c>
      <c r="AO7" s="426"/>
      <c r="AP7" s="426" t="str">
        <f t="shared" si="0"/>
        <v>Группа потребителей</v>
      </c>
      <c r="AQ7" s="426"/>
      <c r="AR7" s="426"/>
    </row>
    <row r="8" spans="1:44" ht="21" hidden="1" customHeight="1">
      <c r="A8" s="1279"/>
      <c r="B8" s="1279"/>
      <c r="C8" s="1279"/>
      <c r="D8" s="1279"/>
      <c r="E8" s="2271"/>
      <c r="F8" s="2271"/>
      <c r="G8" s="2271"/>
      <c r="H8" s="2271"/>
      <c r="I8" s="2291"/>
      <c r="J8" s="2291"/>
      <c r="K8" s="2268" t="e">
        <f>J7&amp;".1"</f>
        <v>#N/A</v>
      </c>
      <c r="L8" s="1280" t="s">
        <v>400</v>
      </c>
      <c r="M8" s="462"/>
      <c r="N8" s="1282"/>
      <c r="O8" s="1282"/>
      <c r="P8" s="2269"/>
      <c r="Q8" s="2269"/>
      <c r="R8" s="282">
        <v>1</v>
      </c>
      <c r="S8" s="1253" t="e">
        <f>$K8</f>
        <v>#N/A</v>
      </c>
      <c r="T8" s="1264"/>
      <c r="U8" s="218"/>
      <c r="V8" s="668"/>
      <c r="W8" s="250"/>
      <c r="X8" s="668"/>
      <c r="Y8" s="1176"/>
      <c r="Z8" s="2273"/>
      <c r="AA8" s="2124" t="s">
        <v>61</v>
      </c>
      <c r="AB8" s="2273"/>
      <c r="AC8" s="2124" t="s">
        <v>61</v>
      </c>
      <c r="AD8" s="668"/>
      <c r="AE8" s="250"/>
      <c r="AF8" s="668"/>
      <c r="AG8" s="1176"/>
      <c r="AH8" s="2273"/>
      <c r="AI8" s="2124" t="s">
        <v>61</v>
      </c>
      <c r="AJ8" s="2273"/>
      <c r="AK8" s="2124" t="s">
        <v>61</v>
      </c>
      <c r="AL8" s="250"/>
      <c r="AM8" s="2265" t="s">
        <v>401</v>
      </c>
      <c r="AN8" s="437" t="e">
        <f ca="1">STRCHECKDATE(V9:AL9)</f>
        <v>#NAME?</v>
      </c>
      <c r="AO8" s="426"/>
      <c r="AP8" s="426" t="str">
        <f t="shared" si="0"/>
        <v/>
      </c>
      <c r="AQ8" s="426"/>
      <c r="AR8" s="426"/>
    </row>
    <row r="9" spans="1:44" ht="14.25" hidden="1" customHeight="1">
      <c r="A9" s="1279"/>
      <c r="B9" s="1279"/>
      <c r="C9" s="1279"/>
      <c r="D9" s="1279"/>
      <c r="E9" s="2271"/>
      <c r="F9" s="2271"/>
      <c r="G9" s="2271"/>
      <c r="H9" s="2271"/>
      <c r="I9" s="2291"/>
      <c r="J9" s="2291"/>
      <c r="K9" s="2268"/>
      <c r="L9" s="1280"/>
      <c r="M9" s="462"/>
      <c r="N9" s="1282"/>
      <c r="O9" s="1282"/>
      <c r="P9" s="2269"/>
      <c r="Q9" s="2269"/>
      <c r="R9" s="282"/>
      <c r="S9" s="1259"/>
      <c r="T9" s="218"/>
      <c r="U9" s="218"/>
      <c r="V9" s="250"/>
      <c r="W9" s="250"/>
      <c r="X9" s="250"/>
      <c r="Y9" s="254" t="str">
        <f>Z8&amp;"-"&amp;AB8</f>
        <v>-</v>
      </c>
      <c r="Z9" s="2274"/>
      <c r="AA9" s="2124"/>
      <c r="AB9" s="2274"/>
      <c r="AC9" s="2124"/>
      <c r="AD9" s="250"/>
      <c r="AE9" s="250"/>
      <c r="AF9" s="250"/>
      <c r="AG9" s="254" t="str">
        <f>AH8&amp;"-"&amp;AJ8</f>
        <v>-</v>
      </c>
      <c r="AH9" s="2274"/>
      <c r="AI9" s="2124"/>
      <c r="AJ9" s="2274"/>
      <c r="AK9" s="2124"/>
      <c r="AL9" s="250"/>
      <c r="AM9" s="2266"/>
      <c r="AO9" s="426"/>
      <c r="AP9" s="426" t="str">
        <f t="shared" si="0"/>
        <v/>
      </c>
      <c r="AQ9" s="426"/>
      <c r="AR9" s="426"/>
    </row>
    <row r="10" spans="1:44" ht="15" hidden="1" customHeight="1">
      <c r="A10" s="1279"/>
      <c r="B10" s="1279"/>
      <c r="C10" s="1279"/>
      <c r="D10" s="1279"/>
      <c r="E10" s="2271"/>
      <c r="F10" s="2271"/>
      <c r="G10" s="2271"/>
      <c r="H10" s="2271"/>
      <c r="I10" s="2291"/>
      <c r="J10" s="2268"/>
      <c r="K10" s="1279"/>
      <c r="L10" s="1280"/>
      <c r="M10" s="462"/>
      <c r="N10" s="1282"/>
      <c r="P10" s="2269"/>
      <c r="Q10" s="2269"/>
      <c r="R10" s="281"/>
      <c r="S10" s="1198"/>
      <c r="T10" s="205" t="s">
        <v>402</v>
      </c>
      <c r="U10" s="295"/>
      <c r="V10" s="295"/>
      <c r="W10" s="295"/>
      <c r="X10" s="295"/>
      <c r="Y10" s="295"/>
      <c r="Z10" s="295"/>
      <c r="AA10" s="295"/>
      <c r="AB10" s="295"/>
      <c r="AC10" s="295"/>
      <c r="AD10" s="295"/>
      <c r="AE10" s="295"/>
      <c r="AF10" s="295"/>
      <c r="AG10" s="295"/>
      <c r="AH10" s="295"/>
      <c r="AI10" s="295"/>
      <c r="AJ10" s="295"/>
      <c r="AK10" s="295"/>
      <c r="AL10" s="249"/>
      <c r="AM10" s="2267"/>
      <c r="AO10" s="426"/>
      <c r="AP10" s="426" t="str">
        <f t="shared" si="0"/>
        <v>Добавить вид теплоносителя (параметры теплоносителя)</v>
      </c>
      <c r="AQ10" s="426"/>
      <c r="AR10" s="426"/>
    </row>
    <row r="11" spans="1:44" ht="11.25" hidden="1" customHeight="1">
      <c r="A11" s="1279"/>
      <c r="B11" s="1279"/>
      <c r="C11" s="1279"/>
      <c r="D11" s="1279"/>
      <c r="E11" s="2271"/>
      <c r="F11" s="2271"/>
      <c r="G11" s="2271"/>
      <c r="H11" s="2271"/>
      <c r="I11" s="2268"/>
      <c r="J11" s="1279"/>
      <c r="K11" s="1279"/>
      <c r="L11" s="1280"/>
      <c r="M11" s="462"/>
      <c r="P11" s="2269"/>
      <c r="Q11" s="1248"/>
      <c r="R11" s="281"/>
      <c r="S11" s="1198"/>
      <c r="T11" s="292" t="s">
        <v>403</v>
      </c>
      <c r="U11" s="295"/>
      <c r="V11" s="295"/>
      <c r="W11" s="295"/>
      <c r="X11" s="295"/>
      <c r="Y11" s="295"/>
      <c r="Z11" s="295"/>
      <c r="AA11" s="295"/>
      <c r="AB11" s="295"/>
      <c r="AC11" s="294"/>
      <c r="AD11" s="295"/>
      <c r="AE11" s="295"/>
      <c r="AF11" s="295"/>
      <c r="AG11" s="295"/>
      <c r="AH11" s="295"/>
      <c r="AI11" s="295"/>
      <c r="AJ11" s="295"/>
      <c r="AK11" s="294"/>
      <c r="AL11" s="295"/>
      <c r="AM11" s="221"/>
      <c r="AO11" s="426"/>
      <c r="AP11" s="426" t="str">
        <f t="shared" si="0"/>
        <v>Добавить группу потребителей</v>
      </c>
      <c r="AQ11" s="426"/>
      <c r="AR11" s="426"/>
    </row>
    <row r="12" spans="1:44" ht="14.25" hidden="1" customHeight="1">
      <c r="A12" s="1279"/>
      <c r="B12" s="1279"/>
      <c r="C12" s="1279"/>
      <c r="D12" s="1279"/>
      <c r="E12" s="2271"/>
      <c r="F12" s="2271"/>
      <c r="G12" s="2271"/>
      <c r="H12" s="2270"/>
      <c r="I12" s="1279"/>
      <c r="J12" s="1279"/>
      <c r="K12" s="1279"/>
      <c r="L12" s="1280"/>
      <c r="M12" s="1281"/>
      <c r="N12" s="1281"/>
      <c r="O12" s="462"/>
      <c r="P12" s="285"/>
      <c r="Q12" s="304"/>
      <c r="R12" s="280"/>
      <c r="S12" s="1302"/>
      <c r="T12" s="1303"/>
      <c r="U12" s="1304"/>
      <c r="V12" s="1304"/>
      <c r="W12" s="1304"/>
      <c r="X12" s="1304"/>
      <c r="Y12" s="1304"/>
      <c r="Z12" s="1304"/>
      <c r="AA12" s="1304"/>
      <c r="AB12" s="1304"/>
      <c r="AC12" s="1304"/>
      <c r="AD12" s="1304"/>
      <c r="AE12" s="1304"/>
      <c r="AF12" s="1304"/>
      <c r="AG12" s="1304"/>
      <c r="AH12" s="1304"/>
      <c r="AI12" s="1304"/>
      <c r="AJ12" s="1304"/>
      <c r="AK12" s="1304"/>
      <c r="AL12" s="1304"/>
      <c r="AM12" s="1305"/>
      <c r="AO12" s="426"/>
      <c r="AP12" s="426" t="str">
        <f t="shared" si="0"/>
        <v/>
      </c>
      <c r="AQ12" s="426"/>
      <c r="AR12" s="426"/>
    </row>
    <row r="13" spans="1:44" s="1930" customFormat="1" ht="14.25" hidden="1" customHeight="1">
      <c r="A13" s="1232"/>
      <c r="B13" s="1232"/>
      <c r="C13" s="1232"/>
      <c r="D13" s="1232"/>
      <c r="E13" s="2271"/>
      <c r="F13" s="2271"/>
      <c r="G13" s="2270"/>
      <c r="H13" s="1232"/>
      <c r="I13" s="1232"/>
      <c r="J13" s="1232"/>
      <c r="K13" s="1232"/>
      <c r="L13" s="1256"/>
      <c r="M13" s="1233"/>
      <c r="N13" s="1233"/>
      <c r="P13" s="1234"/>
      <c r="Q13" s="1235"/>
      <c r="R13" s="1234"/>
      <c r="S13" s="1236"/>
      <c r="T13" s="1237" t="s">
        <v>405</v>
      </c>
      <c r="U13" s="1238"/>
      <c r="V13" s="1238"/>
      <c r="W13" s="1238"/>
      <c r="X13" s="1238"/>
      <c r="Y13" s="1238"/>
      <c r="Z13" s="1238"/>
      <c r="AA13" s="1238"/>
      <c r="AB13" s="1238"/>
      <c r="AC13" s="1238"/>
      <c r="AD13" s="1238"/>
      <c r="AE13" s="1238"/>
      <c r="AF13" s="1238"/>
      <c r="AG13" s="1238"/>
      <c r="AH13" s="1238"/>
      <c r="AI13" s="1238"/>
      <c r="AJ13" s="1238"/>
      <c r="AK13" s="1238"/>
      <c r="AL13" s="1238"/>
      <c r="AM13" s="1238"/>
      <c r="AO13" s="706"/>
      <c r="AP13" s="706" t="str">
        <f t="shared" si="0"/>
        <v>Добавить источник для дифференциации</v>
      </c>
      <c r="AQ13" s="706"/>
      <c r="AR13" s="706"/>
    </row>
    <row r="14" spans="1:44" s="1930" customFormat="1" ht="14.25" hidden="1" customHeight="1">
      <c r="A14" s="1232"/>
      <c r="B14" s="1232"/>
      <c r="C14" s="1232"/>
      <c r="D14" s="1232"/>
      <c r="E14" s="2271"/>
      <c r="F14" s="2270"/>
      <c r="G14" s="1232"/>
      <c r="H14" s="1232"/>
      <c r="I14" s="1232"/>
      <c r="J14" s="1232"/>
      <c r="K14" s="1232"/>
      <c r="L14" s="1256"/>
      <c r="M14" s="1239"/>
      <c r="N14" s="1239"/>
      <c r="P14" s="1234"/>
      <c r="Q14" s="1235"/>
      <c r="R14" s="1234"/>
      <c r="S14" s="1240"/>
      <c r="T14" s="1241" t="s">
        <v>215</v>
      </c>
      <c r="U14" s="1242"/>
      <c r="V14" s="1242"/>
      <c r="W14" s="1242"/>
      <c r="X14" s="1242"/>
      <c r="Y14" s="1242"/>
      <c r="Z14" s="1242"/>
      <c r="AA14" s="1242"/>
      <c r="AB14" s="1242"/>
      <c r="AC14" s="1242"/>
      <c r="AD14" s="1242"/>
      <c r="AE14" s="1242"/>
      <c r="AF14" s="1242"/>
      <c r="AG14" s="1242"/>
      <c r="AH14" s="1242"/>
      <c r="AI14" s="1242"/>
      <c r="AJ14" s="1242"/>
      <c r="AK14" s="1242"/>
      <c r="AL14" s="1242"/>
      <c r="AM14" s="1242"/>
      <c r="AO14" s="706"/>
      <c r="AP14" s="706" t="str">
        <f t="shared" si="0"/>
        <v>Добавить централизованную систему для дифференциации</v>
      </c>
      <c r="AQ14" s="706"/>
      <c r="AR14" s="706"/>
    </row>
    <row r="15" spans="1:44" s="1930" customFormat="1" ht="14.25" hidden="1" customHeight="1">
      <c r="A15" s="1232"/>
      <c r="B15" s="1232"/>
      <c r="C15" s="1232"/>
      <c r="D15" s="1232"/>
      <c r="E15" s="2270"/>
      <c r="F15" s="1232"/>
      <c r="G15" s="1232"/>
      <c r="H15" s="1232"/>
      <c r="I15" s="1232"/>
      <c r="J15" s="1232"/>
      <c r="K15" s="1232"/>
      <c r="L15" s="1256"/>
      <c r="M15" s="1239"/>
      <c r="N15" s="1239"/>
      <c r="P15" s="1234"/>
      <c r="Q15" s="1235"/>
      <c r="R15" s="1234"/>
      <c r="S15" s="1240"/>
      <c r="T15" s="1243" t="s">
        <v>216</v>
      </c>
      <c r="U15" s="1242"/>
      <c r="V15" s="1242"/>
      <c r="W15" s="1242"/>
      <c r="X15" s="1242"/>
      <c r="Y15" s="1242"/>
      <c r="Z15" s="1242"/>
      <c r="AA15" s="1242"/>
      <c r="AB15" s="1242"/>
      <c r="AC15" s="1242"/>
      <c r="AD15" s="1242"/>
      <c r="AE15" s="1242"/>
      <c r="AF15" s="1242"/>
      <c r="AG15" s="1242"/>
      <c r="AH15" s="1242"/>
      <c r="AI15" s="1242"/>
      <c r="AJ15" s="1242"/>
      <c r="AK15" s="1242"/>
      <c r="AL15" s="1242"/>
      <c r="AM15" s="1242"/>
      <c r="AO15" s="706"/>
      <c r="AP15" s="706" t="str">
        <f t="shared" si="0"/>
        <v>Добавить территорию для дифференциации</v>
      </c>
      <c r="AQ15" s="706"/>
      <c r="AR15" s="706"/>
    </row>
    <row r="16" spans="1:44" ht="14.25" hidden="1" customHeight="1">
      <c r="AC16" s="253"/>
      <c r="AK16" s="253"/>
    </row>
    <row r="17" spans="1:44" ht="14.25" hidden="1" customHeight="1">
      <c r="AD17" s="1276"/>
      <c r="AE17" s="1276"/>
      <c r="AF17" s="1276"/>
      <c r="AG17" s="1277"/>
      <c r="AH17" s="2275"/>
      <c r="AI17" s="2276" t="s">
        <v>61</v>
      </c>
      <c r="AJ17" s="2275"/>
      <c r="AK17" s="2276" t="s">
        <v>61</v>
      </c>
    </row>
    <row r="18" spans="1:44" ht="14.25" hidden="1" customHeight="1">
      <c r="AD18" s="1276"/>
      <c r="AE18" s="1276"/>
      <c r="AF18" s="1276"/>
      <c r="AG18" s="254" t="str">
        <f>AH17&amp;"-"&amp;AJ17</f>
        <v>-</v>
      </c>
      <c r="AH18" s="2276"/>
      <c r="AI18" s="2276"/>
      <c r="AJ18" s="2276"/>
      <c r="AK18" s="2276"/>
    </row>
    <row r="19" spans="1:44" ht="14.25" hidden="1" customHeight="1">
      <c r="AK19" s="253"/>
    </row>
    <row r="20" spans="1:44" s="1931" customFormat="1" ht="22.5" hidden="1" customHeight="1">
      <c r="L20" s="1246"/>
      <c r="M20" s="1278"/>
      <c r="N20" s="1278"/>
      <c r="O20" s="1283" t="s">
        <v>406</v>
      </c>
      <c r="P20" s="1278"/>
      <c r="Q20" s="1287"/>
      <c r="R20" s="1287"/>
      <c r="S20" s="648"/>
      <c r="Z20" s="1283"/>
      <c r="AB20" s="1283"/>
      <c r="AC20" s="1282"/>
      <c r="AH20" s="1283"/>
      <c r="AJ20" s="1283"/>
      <c r="AK20" s="1282"/>
      <c r="AN20" s="437"/>
      <c r="AO20" s="437"/>
      <c r="AP20" s="437"/>
      <c r="AQ20" s="437"/>
      <c r="AR20" s="437"/>
    </row>
    <row r="21" spans="1:44" s="1931" customFormat="1" ht="14.25" hidden="1" customHeight="1">
      <c r="L21" s="1246"/>
      <c r="M21" s="1278"/>
      <c r="N21" s="1278"/>
      <c r="O21" s="1278"/>
      <c r="P21" s="1278"/>
      <c r="Q21" s="1287"/>
      <c r="R21" s="1287"/>
      <c r="S21" s="648"/>
      <c r="AC21" s="1282"/>
      <c r="AK21" s="1282"/>
      <c r="AN21" s="437"/>
      <c r="AO21" s="437"/>
      <c r="AP21" s="437"/>
      <c r="AQ21" s="437"/>
      <c r="AR21" s="437"/>
    </row>
    <row r="22" spans="1:44" s="1931" customFormat="1" ht="14.25" hidden="1" customHeight="1">
      <c r="L22" s="1246"/>
      <c r="M22" s="1278"/>
      <c r="N22" s="1278"/>
      <c r="O22" s="1280" t="s">
        <v>407</v>
      </c>
      <c r="P22" s="1278"/>
      <c r="Q22" s="1287"/>
      <c r="R22" s="1287"/>
      <c r="S22" s="648"/>
      <c r="T22" s="1060" t="s">
        <v>408</v>
      </c>
      <c r="AA22" s="107" t="s">
        <v>409</v>
      </c>
      <c r="AC22" s="107" t="s">
        <v>410</v>
      </c>
      <c r="AD22" s="1060" t="s">
        <v>408</v>
      </c>
      <c r="AI22" s="107" t="s">
        <v>411</v>
      </c>
      <c r="AK22" s="107" t="s">
        <v>410</v>
      </c>
      <c r="AN22" s="437"/>
      <c r="AO22" s="437"/>
      <c r="AP22" s="437"/>
      <c r="AQ22" s="437"/>
      <c r="AR22" s="437"/>
    </row>
    <row r="23" spans="1:44" ht="14.25" hidden="1" customHeight="1">
      <c r="O23" s="1280"/>
    </row>
    <row r="24" spans="1:44" ht="14.25" hidden="1" customHeight="1">
      <c r="O24" s="1280"/>
    </row>
    <row r="25" spans="1:44" ht="14.25" customHeight="1">
      <c r="Q25" s="305"/>
      <c r="R25" s="305"/>
      <c r="S25" s="1195"/>
      <c r="T25" s="290"/>
      <c r="U25" s="290"/>
      <c r="V25" s="435"/>
      <c r="W25" s="435"/>
      <c r="X25" s="435"/>
      <c r="Y25" s="435"/>
      <c r="Z25" s="435"/>
      <c r="AA25" s="435"/>
      <c r="AB25" s="435"/>
      <c r="AC25" s="435"/>
      <c r="AD25" s="435"/>
      <c r="AE25" s="435"/>
      <c r="AF25" s="435"/>
      <c r="AG25" s="435"/>
      <c r="AH25" s="435"/>
      <c r="AI25" s="435"/>
      <c r="AJ25" s="435"/>
      <c r="AK25" s="435"/>
    </row>
    <row r="26" spans="1:44" ht="51" customHeight="1">
      <c r="Q26" s="305"/>
      <c r="R26" s="305"/>
      <c r="S26" s="225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152"/>
    </row>
    <row r="27" spans="1:44" ht="14.25" customHeight="1">
      <c r="Q27" s="305"/>
      <c r="R27" s="305"/>
      <c r="S27" s="2200" t="str">
        <f>IF(org=0,"Не определено",org)</f>
        <v>ПАО "Юнипро"</v>
      </c>
      <c r="T27" s="2200"/>
      <c r="U27" s="2200"/>
      <c r="V27" s="2200"/>
      <c r="W27" s="2200"/>
      <c r="X27" s="2200"/>
      <c r="Y27" s="2200"/>
      <c r="Z27" s="2200"/>
      <c r="AA27" s="2200"/>
      <c r="AB27" s="2200"/>
      <c r="AC27" s="2200"/>
      <c r="AD27" s="2200"/>
      <c r="AE27" s="2200"/>
      <c r="AF27" s="2200"/>
      <c r="AG27" s="2200"/>
      <c r="AH27" s="2200"/>
      <c r="AI27" s="2200"/>
      <c r="AJ27" s="2200"/>
      <c r="AK27" s="1152"/>
    </row>
    <row r="28" spans="1:44" ht="14.25" customHeight="1">
      <c r="Q28" s="305"/>
      <c r="R28" s="305"/>
      <c r="S28" s="1195"/>
      <c r="T28" s="290"/>
      <c r="U28" s="290"/>
      <c r="V28" s="246"/>
      <c r="W28" s="246"/>
      <c r="X28" s="246"/>
      <c r="Y28" s="246"/>
      <c r="Z28" s="246"/>
      <c r="AA28" s="246"/>
      <c r="AB28" s="246"/>
      <c r="AC28" s="246"/>
      <c r="AD28" s="246"/>
      <c r="AE28" s="246"/>
      <c r="AF28" s="246"/>
      <c r="AG28" s="246"/>
      <c r="AH28" s="246"/>
      <c r="AI28" s="246"/>
      <c r="AJ28" s="246"/>
      <c r="AK28" s="246"/>
      <c r="AL28" s="435"/>
    </row>
    <row r="29" spans="1:44" s="1936" customFormat="1" ht="25.5" customHeight="1">
      <c r="A29" s="1284"/>
      <c r="B29" s="1284"/>
      <c r="C29" s="1284"/>
      <c r="D29" s="1284"/>
      <c r="E29" s="1284"/>
      <c r="F29" s="1284"/>
      <c r="G29" s="1284"/>
      <c r="H29" s="1284"/>
      <c r="I29" s="1284"/>
      <c r="J29" s="1284"/>
      <c r="K29" s="1284"/>
      <c r="L29" s="1285"/>
      <c r="M29" s="1284"/>
      <c r="N29" s="1284"/>
      <c r="O29" s="1284"/>
      <c r="S29" s="2262" t="s">
        <v>38</v>
      </c>
      <c r="T29" s="2262"/>
      <c r="U29" s="1288"/>
      <c r="V29" s="2263" t="str">
        <f>IF(TITLE_NAME_OR_PR_CHANGE="",IF(TITLE_NAME_OR_PR="","",TITLE_NAME_OR_PR),TITLE_NAME_OR_PR_CHANGE)</f>
        <v>Министерство тарифной политики Красноярского края</v>
      </c>
      <c r="W29" s="2263"/>
      <c r="X29" s="2263"/>
      <c r="Y29" s="2263"/>
      <c r="Z29" s="2263"/>
      <c r="AA29" s="2263"/>
      <c r="AB29" s="2263"/>
      <c r="AC29" s="252"/>
      <c r="AD29" s="2263" t="str">
        <f>IF(TITLE_NAME_OR_PR_CHANGE="",IF(TITLE_NAME_OR_PR="","",TITLE_NAME_OR_PR),TITLE_NAME_OR_PR_CHANGE)</f>
        <v>Министерство тарифной политики Красноярского края</v>
      </c>
      <c r="AE29" s="2263"/>
      <c r="AF29" s="2263"/>
      <c r="AG29" s="2263"/>
      <c r="AH29" s="2263"/>
      <c r="AI29" s="2263"/>
      <c r="AJ29" s="2263"/>
      <c r="AK29" s="252"/>
      <c r="AL29" s="252"/>
      <c r="AM29" s="199"/>
      <c r="AN29" s="296"/>
      <c r="AO29" s="296"/>
      <c r="AP29" s="296"/>
      <c r="AQ29" s="296"/>
      <c r="AR29" s="296"/>
    </row>
    <row r="30" spans="1:44" s="1936" customFormat="1" ht="18.75" customHeight="1">
      <c r="A30" s="1284"/>
      <c r="B30" s="1284"/>
      <c r="C30" s="1284"/>
      <c r="D30" s="1284"/>
      <c r="E30" s="1284"/>
      <c r="F30" s="1284"/>
      <c r="G30" s="1284"/>
      <c r="H30" s="1284"/>
      <c r="I30" s="1284"/>
      <c r="J30" s="1284"/>
      <c r="K30" s="1284"/>
      <c r="L30" s="1285"/>
      <c r="M30" s="1284"/>
      <c r="N30" s="1284"/>
      <c r="O30" s="1284"/>
      <c r="S30" s="2262" t="s">
        <v>412</v>
      </c>
      <c r="T30" s="2262"/>
      <c r="U30" s="1288"/>
      <c r="V30" s="2272">
        <f>IF(TITLE_DATE_PR_CHANGE="",IF(TITLE_DATE_PR="","",TITLE_DATE_PR),TITLE_DATE_PR_CHANGE)</f>
        <v>45278.357847222222</v>
      </c>
      <c r="W30" s="2272"/>
      <c r="X30" s="2272"/>
      <c r="Y30" s="2272"/>
      <c r="Z30" s="2272"/>
      <c r="AA30" s="2272"/>
      <c r="AB30" s="2272"/>
      <c r="AC30" s="252"/>
      <c r="AD30" s="2272">
        <f>IF(TITLE_DATE_PR_CHANGE="",IF(TITLE_DATE_PR="","",TITLE_DATE_PR),TITLE_DATE_PR_CHANGE)</f>
        <v>45278.357847222222</v>
      </c>
      <c r="AE30" s="2272"/>
      <c r="AF30" s="2272"/>
      <c r="AG30" s="2272"/>
      <c r="AH30" s="2272"/>
      <c r="AI30" s="2272"/>
      <c r="AJ30" s="2272"/>
      <c r="AK30" s="252"/>
      <c r="AL30" s="252"/>
      <c r="AM30" s="199"/>
      <c r="AN30" s="296"/>
      <c r="AO30" s="296"/>
      <c r="AP30" s="296"/>
      <c r="AQ30" s="296"/>
      <c r="AR30" s="296"/>
    </row>
    <row r="31" spans="1:44" s="1936" customFormat="1" ht="18.75" customHeight="1">
      <c r="A31" s="1284"/>
      <c r="B31" s="1284"/>
      <c r="C31" s="1284"/>
      <c r="D31" s="1284"/>
      <c r="E31" s="1284"/>
      <c r="F31" s="1284"/>
      <c r="G31" s="1284"/>
      <c r="H31" s="1284"/>
      <c r="I31" s="1284"/>
      <c r="J31" s="1284"/>
      <c r="K31" s="1284"/>
      <c r="L31" s="1285"/>
      <c r="M31" s="1284"/>
      <c r="N31" s="1284"/>
      <c r="O31" s="1284"/>
      <c r="S31" s="2262" t="s">
        <v>413</v>
      </c>
      <c r="T31" s="2262"/>
      <c r="U31" s="1288"/>
      <c r="V31" s="2263" t="str">
        <f>IF(TITLE_NUMBER_PR_CHANGE="",IF(TITLE_NUMBER_PR="","",TITLE_NUMBER_PR),TITLE_NUMBER_PR_CHANGE)</f>
        <v>924-в</v>
      </c>
      <c r="W31" s="2263"/>
      <c r="X31" s="2263"/>
      <c r="Y31" s="2263"/>
      <c r="Z31" s="2263"/>
      <c r="AA31" s="2263"/>
      <c r="AB31" s="2263"/>
      <c r="AC31" s="252"/>
      <c r="AD31" s="2263" t="str">
        <f>IF(TITLE_NUMBER_PR_CHANGE="",IF(TITLE_NUMBER_PR="","",TITLE_NUMBER_PR),TITLE_NUMBER_PR_CHANGE)</f>
        <v>924-в</v>
      </c>
      <c r="AE31" s="2263"/>
      <c r="AF31" s="2263"/>
      <c r="AG31" s="2263"/>
      <c r="AH31" s="2263"/>
      <c r="AI31" s="2263"/>
      <c r="AJ31" s="2263"/>
      <c r="AK31" s="252"/>
      <c r="AL31" s="252"/>
      <c r="AM31" s="199"/>
      <c r="AN31" s="296"/>
      <c r="AO31" s="296"/>
      <c r="AP31" s="296"/>
      <c r="AQ31" s="296"/>
      <c r="AR31" s="296"/>
    </row>
    <row r="32" spans="1:44" s="1936" customFormat="1" ht="18.75" customHeight="1">
      <c r="A32" s="1284"/>
      <c r="B32" s="1284"/>
      <c r="C32" s="1284"/>
      <c r="D32" s="1284"/>
      <c r="E32" s="1284"/>
      <c r="F32" s="1284"/>
      <c r="G32" s="1284"/>
      <c r="H32" s="1284"/>
      <c r="I32" s="1284"/>
      <c r="J32" s="1284"/>
      <c r="K32" s="1284"/>
      <c r="L32" s="1285"/>
      <c r="M32" s="1284"/>
      <c r="N32" s="1284"/>
      <c r="O32" s="1284"/>
      <c r="S32" s="2262" t="s">
        <v>40</v>
      </c>
      <c r="T32" s="2262"/>
      <c r="U32" s="1288"/>
      <c r="V32" s="2263" t="str">
        <f>IF(TITLE_IST_PUB_CHANGE="",IF(TITLE_IST_PUB="","",TITLE_IST_PUB),TITLE_IST_PUB_CHANGE)</f>
        <v>Официальный интернет-портал правовой информации Красноярского края (http://www.zakon.krskstate.ru/)</v>
      </c>
      <c r="W32" s="2263"/>
      <c r="X32" s="2263"/>
      <c r="Y32" s="2263"/>
      <c r="Z32" s="2263"/>
      <c r="AA32" s="2263"/>
      <c r="AB32" s="2263"/>
      <c r="AC32" s="252"/>
      <c r="AD32" s="2263" t="str">
        <f>IF(TITLE_IST_PUB_CHANGE="",IF(TITLE_IST_PUB="","",TITLE_IST_PUB),TITLE_IST_PUB_CHANGE)</f>
        <v>Официальный интернет-портал правовой информации Красноярского края (http://www.zakon.krskstate.ru/)</v>
      </c>
      <c r="AE32" s="2263"/>
      <c r="AF32" s="2263"/>
      <c r="AG32" s="2263"/>
      <c r="AH32" s="2263"/>
      <c r="AI32" s="2263"/>
      <c r="AJ32" s="2263"/>
      <c r="AK32" s="252"/>
      <c r="AL32" s="252"/>
      <c r="AM32" s="199"/>
      <c r="AN32" s="296"/>
      <c r="AO32" s="296"/>
      <c r="AP32" s="296"/>
      <c r="AQ32" s="296"/>
      <c r="AR32" s="296"/>
    </row>
    <row r="33" spans="1:44" ht="14.25" hidden="1" customHeight="1">
      <c r="Q33" s="305"/>
      <c r="R33" s="305"/>
      <c r="S33" s="1195"/>
      <c r="T33" s="290"/>
      <c r="U33" s="290"/>
      <c r="V33" s="246"/>
      <c r="W33" s="246"/>
      <c r="X33" s="246"/>
      <c r="Y33" s="246"/>
      <c r="Z33" s="246"/>
      <c r="AA33" s="246"/>
      <c r="AB33" s="246"/>
      <c r="AC33" s="246"/>
      <c r="AD33" s="246"/>
      <c r="AE33" s="246"/>
      <c r="AF33" s="246"/>
      <c r="AG33" s="246"/>
      <c r="AH33" s="246"/>
      <c r="AI33" s="246"/>
      <c r="AJ33" s="246"/>
      <c r="AK33" s="246"/>
      <c r="AL33" s="435"/>
    </row>
    <row r="34" spans="1:44" s="1936" customFormat="1" ht="18.75" hidden="1" customHeight="1">
      <c r="A34" s="1284"/>
      <c r="B34" s="1284"/>
      <c r="C34" s="1284"/>
      <c r="D34" s="1284"/>
      <c r="E34" s="1284"/>
      <c r="F34" s="1284"/>
      <c r="G34" s="1284"/>
      <c r="H34" s="1284"/>
      <c r="I34" s="1284"/>
      <c r="J34" s="1284"/>
      <c r="K34" s="1284"/>
      <c r="L34" s="1285"/>
      <c r="M34" s="1284"/>
      <c r="N34" s="1284"/>
      <c r="O34" s="1284"/>
      <c r="S34" s="2262" t="s">
        <v>414</v>
      </c>
      <c r="T34" s="2262"/>
      <c r="U34" s="1288"/>
      <c r="V34" s="2272">
        <f>IF(TITLE_DATE_PR_CHANGE="",IF(TITLE_DATE_PR="","",TITLE_DATE_PR),TITLE_DATE_PR_CHANGE)</f>
        <v>45278.357847222222</v>
      </c>
      <c r="W34" s="2272"/>
      <c r="X34" s="2272"/>
      <c r="Y34" s="2272"/>
      <c r="Z34" s="2272"/>
      <c r="AA34" s="2272"/>
      <c r="AB34" s="2272"/>
      <c r="AC34" s="252"/>
      <c r="AD34" s="2272">
        <f>IF(TITLE_DATE_PR_CHANGE="",IF(TITLE_DATE_PR="","",TITLE_DATE_PR),TITLE_DATE_PR_CHANGE)</f>
        <v>45278.357847222222</v>
      </c>
      <c r="AE34" s="2272"/>
      <c r="AF34" s="2272"/>
      <c r="AG34" s="2272"/>
      <c r="AH34" s="2272"/>
      <c r="AI34" s="2272"/>
      <c r="AJ34" s="2272"/>
      <c r="AK34" s="252"/>
      <c r="AL34" s="252"/>
      <c r="AM34" s="199"/>
      <c r="AN34" s="296"/>
      <c r="AO34" s="296"/>
      <c r="AP34" s="296"/>
      <c r="AQ34" s="296"/>
      <c r="AR34" s="296"/>
    </row>
    <row r="35" spans="1:44" s="1936" customFormat="1" ht="25.5" hidden="1" customHeight="1">
      <c r="A35" s="1284"/>
      <c r="B35" s="1284"/>
      <c r="C35" s="1284"/>
      <c r="D35" s="1284"/>
      <c r="E35" s="1284"/>
      <c r="F35" s="1284"/>
      <c r="G35" s="1284"/>
      <c r="H35" s="1284"/>
      <c r="I35" s="1284"/>
      <c r="J35" s="1284"/>
      <c r="K35" s="1284"/>
      <c r="L35" s="1285"/>
      <c r="M35" s="1284"/>
      <c r="N35" s="1284"/>
      <c r="O35" s="1284"/>
      <c r="S35" s="2262" t="s">
        <v>415</v>
      </c>
      <c r="T35" s="2262"/>
      <c r="U35" s="1288"/>
      <c r="V35" s="2263" t="str">
        <f>IF(TITLE_NUMBER_PR_CHANGE="",IF(TITLE_NUMBER_PR="","",TITLE_NUMBER_PR),TITLE_NUMBER_PR_CHANGE)</f>
        <v>924-в</v>
      </c>
      <c r="W35" s="2263"/>
      <c r="X35" s="2263"/>
      <c r="Y35" s="2263"/>
      <c r="Z35" s="2263"/>
      <c r="AA35" s="2263"/>
      <c r="AB35" s="2263"/>
      <c r="AC35" s="252"/>
      <c r="AD35" s="2263" t="str">
        <f>IF(TITLE_NUMBER_PR_CHANGE="",IF(TITLE_NUMBER_PR="","",TITLE_NUMBER_PR),TITLE_NUMBER_PR_CHANGE)</f>
        <v>924-в</v>
      </c>
      <c r="AE35" s="2263"/>
      <c r="AF35" s="2263"/>
      <c r="AG35" s="2263"/>
      <c r="AH35" s="2263"/>
      <c r="AI35" s="2263"/>
      <c r="AJ35" s="2263"/>
      <c r="AK35" s="252"/>
      <c r="AL35" s="252"/>
      <c r="AM35" s="199"/>
      <c r="AN35" s="296"/>
      <c r="AO35" s="296"/>
      <c r="AP35" s="296"/>
      <c r="AQ35" s="296"/>
      <c r="AR35" s="296"/>
    </row>
    <row r="36" spans="1:44" s="1936" customFormat="1" ht="0" hidden="1" customHeight="1">
      <c r="A36" s="1284"/>
      <c r="B36" s="1284"/>
      <c r="C36" s="1284"/>
      <c r="D36" s="1284"/>
      <c r="E36" s="1284"/>
      <c r="F36" s="1284"/>
      <c r="G36" s="1284"/>
      <c r="H36" s="1284"/>
      <c r="I36" s="1284"/>
      <c r="J36" s="1284"/>
      <c r="K36" s="1284"/>
      <c r="L36" s="1285"/>
      <c r="M36" s="1284"/>
      <c r="N36" s="1284"/>
      <c r="O36" s="1284"/>
      <c r="S36" s="248"/>
      <c r="T36" s="248"/>
      <c r="U36" s="1257"/>
      <c r="V36" s="252"/>
      <c r="W36" s="252"/>
      <c r="X36" s="252"/>
      <c r="Y36" s="252"/>
      <c r="Z36" s="252"/>
      <c r="AA36" s="252"/>
      <c r="AB36" s="252"/>
      <c r="AC36" s="197" t="s">
        <v>416</v>
      </c>
      <c r="AD36" s="252"/>
      <c r="AE36" s="252"/>
      <c r="AF36" s="252"/>
      <c r="AG36" s="252"/>
      <c r="AH36" s="252"/>
      <c r="AI36" s="252"/>
      <c r="AJ36" s="252"/>
      <c r="AK36" s="197" t="s">
        <v>416</v>
      </c>
      <c r="AN36" s="296"/>
      <c r="AO36" s="296"/>
      <c r="AP36" s="296"/>
      <c r="AQ36" s="296"/>
      <c r="AR36" s="296"/>
    </row>
    <row r="37" spans="1:44" ht="14.25" customHeight="1">
      <c r="Q37" s="305"/>
      <c r="R37" s="305"/>
      <c r="S37" s="1195"/>
      <c r="T37" s="290"/>
      <c r="U37" s="1153"/>
      <c r="V37" s="2264"/>
      <c r="W37" s="2264"/>
      <c r="X37" s="2264"/>
      <c r="Y37" s="2264"/>
      <c r="Z37" s="2264"/>
      <c r="AA37" s="2264"/>
      <c r="AB37" s="2264"/>
      <c r="AC37" s="2264"/>
      <c r="AD37" s="2264"/>
      <c r="AE37" s="2264"/>
      <c r="AF37" s="2264"/>
      <c r="AG37" s="2264"/>
      <c r="AH37" s="2264"/>
      <c r="AI37" s="2264"/>
      <c r="AJ37" s="2264"/>
      <c r="AK37" s="2264"/>
    </row>
    <row r="38" spans="1:44" ht="14.25" customHeight="1">
      <c r="Q38" s="305"/>
      <c r="R38" s="305"/>
      <c r="S38" s="2143" t="s">
        <v>289</v>
      </c>
      <c r="T38" s="2143"/>
      <c r="U38" s="2143"/>
      <c r="V38" s="2143"/>
      <c r="W38" s="2143"/>
      <c r="X38" s="2143"/>
      <c r="Y38" s="2143"/>
      <c r="Z38" s="2143"/>
      <c r="AA38" s="2143"/>
      <c r="AB38" s="2143"/>
      <c r="AC38" s="2143"/>
      <c r="AD38" s="2143"/>
      <c r="AE38" s="2143"/>
      <c r="AF38" s="2143"/>
      <c r="AG38" s="2143"/>
      <c r="AH38" s="2143"/>
      <c r="AI38" s="2143"/>
      <c r="AJ38" s="2143"/>
      <c r="AK38" s="2143"/>
      <c r="AL38" s="2143"/>
      <c r="AM38" s="2143" t="s">
        <v>290</v>
      </c>
    </row>
    <row r="39" spans="1:44" ht="14.25" customHeight="1">
      <c r="Q39" s="305"/>
      <c r="R39" s="305"/>
      <c r="S39" s="2278" t="s">
        <v>87</v>
      </c>
      <c r="T39" s="2229" t="s">
        <v>417</v>
      </c>
      <c r="U39" s="219"/>
      <c r="V39" s="2279" t="s">
        <v>418</v>
      </c>
      <c r="W39" s="2280"/>
      <c r="X39" s="2280"/>
      <c r="Y39" s="2280"/>
      <c r="Z39" s="2280"/>
      <c r="AA39" s="2280"/>
      <c r="AB39" s="2281"/>
      <c r="AC39" s="2282" t="s">
        <v>419</v>
      </c>
      <c r="AD39" s="2279" t="s">
        <v>418</v>
      </c>
      <c r="AE39" s="2280"/>
      <c r="AF39" s="2280"/>
      <c r="AG39" s="2280"/>
      <c r="AH39" s="2280"/>
      <c r="AI39" s="2280"/>
      <c r="AJ39" s="2281"/>
      <c r="AK39" s="2282" t="s">
        <v>420</v>
      </c>
      <c r="AL39" s="2285" t="s">
        <v>421</v>
      </c>
      <c r="AM39" s="2143"/>
    </row>
    <row r="40" spans="1:44" ht="33.75" customHeight="1">
      <c r="Q40" s="305"/>
      <c r="R40" s="305"/>
      <c r="S40" s="2278"/>
      <c r="T40" s="2229"/>
      <c r="U40" s="938"/>
      <c r="V40" s="2199" t="s">
        <v>422</v>
      </c>
      <c r="W40" s="2288"/>
      <c r="X40" s="2115" t="s">
        <v>424</v>
      </c>
      <c r="Y40" s="2114"/>
      <c r="Z40" s="2115" t="s">
        <v>425</v>
      </c>
      <c r="AA40" s="2120"/>
      <c r="AB40" s="2114"/>
      <c r="AC40" s="2283"/>
      <c r="AD40" s="2199" t="s">
        <v>422</v>
      </c>
      <c r="AE40" s="2288"/>
      <c r="AF40" s="2115" t="s">
        <v>424</v>
      </c>
      <c r="AG40" s="2114"/>
      <c r="AH40" s="2115" t="s">
        <v>425</v>
      </c>
      <c r="AI40" s="2120"/>
      <c r="AJ40" s="2114"/>
      <c r="AK40" s="2283"/>
      <c r="AL40" s="2286"/>
      <c r="AM40" s="2143"/>
    </row>
    <row r="41" spans="1:44" ht="33.75" customHeight="1">
      <c r="A41" s="1286"/>
      <c r="B41" s="1286" t="s">
        <v>134</v>
      </c>
      <c r="C41" s="1286" t="s">
        <v>135</v>
      </c>
      <c r="D41" s="1286" t="s">
        <v>136</v>
      </c>
      <c r="E41" s="1280" t="s">
        <v>426</v>
      </c>
      <c r="F41" s="1280" t="s">
        <v>427</v>
      </c>
      <c r="G41" s="1280" t="s">
        <v>428</v>
      </c>
      <c r="H41" s="1280" t="s">
        <v>429</v>
      </c>
      <c r="I41" s="1280" t="s">
        <v>430</v>
      </c>
      <c r="J41" s="1280" t="s">
        <v>431</v>
      </c>
      <c r="K41" s="1280" t="s">
        <v>432</v>
      </c>
      <c r="L41" s="1280" t="s">
        <v>407</v>
      </c>
      <c r="Q41" s="305"/>
      <c r="R41" s="305"/>
      <c r="S41" s="2278"/>
      <c r="T41" s="2229"/>
      <c r="U41" s="220"/>
      <c r="V41" s="2249"/>
      <c r="W41" s="2289"/>
      <c r="X41" s="1128" t="s">
        <v>433</v>
      </c>
      <c r="Y41" s="1128" t="s">
        <v>434</v>
      </c>
      <c r="Z41" s="1255" t="s">
        <v>435</v>
      </c>
      <c r="AA41" s="2238" t="s">
        <v>436</v>
      </c>
      <c r="AB41" s="2240"/>
      <c r="AC41" s="2284"/>
      <c r="AD41" s="2249"/>
      <c r="AE41" s="2289"/>
      <c r="AF41" s="1128" t="s">
        <v>433</v>
      </c>
      <c r="AG41" s="1128" t="s">
        <v>434</v>
      </c>
      <c r="AH41" s="1255" t="s">
        <v>435</v>
      </c>
      <c r="AI41" s="2238" t="s">
        <v>436</v>
      </c>
      <c r="AJ41" s="2240"/>
      <c r="AK41" s="2284"/>
      <c r="AL41" s="2287"/>
      <c r="AM41" s="2143"/>
    </row>
    <row r="42" spans="1:44" s="1819" customFormat="1" ht="11.25" hidden="1" customHeight="1">
      <c r="A42" s="1286"/>
      <c r="B42" s="1286"/>
      <c r="C42" s="1286"/>
      <c r="D42" s="1286"/>
      <c r="E42" s="1286"/>
      <c r="F42" s="1286"/>
      <c r="G42" s="1286"/>
      <c r="H42" s="1286"/>
      <c r="I42" s="1286"/>
      <c r="J42" s="1286"/>
      <c r="K42" s="1286"/>
      <c r="L42" s="1280"/>
      <c r="M42" s="1278"/>
      <c r="N42" s="1278"/>
      <c r="O42" s="1278"/>
      <c r="P42" s="1155"/>
      <c r="Q42" s="1156"/>
      <c r="R42" s="1171">
        <v>1</v>
      </c>
      <c r="S42" s="1197" t="s">
        <v>108</v>
      </c>
      <c r="T42" s="1172" t="s">
        <v>109</v>
      </c>
      <c r="U42" s="1154" t="str">
        <f ca="1">OFFSET(U42,0,-1)</f>
        <v>2</v>
      </c>
      <c r="V42" s="1252">
        <f ca="1">OFFSET(V42,0,-1)+1</f>
        <v>3</v>
      </c>
      <c r="W42" s="1252"/>
      <c r="X42" s="1252">
        <f ca="1">OFFSET(X42,0,-1)+1</f>
        <v>1</v>
      </c>
      <c r="Y42" s="1252">
        <f ca="1">OFFSET(Y42,0,-1)+1</f>
        <v>2</v>
      </c>
      <c r="Z42" s="1252">
        <f ca="1">OFFSET(Z42,0,-1)+1</f>
        <v>3</v>
      </c>
      <c r="AA42" s="2277">
        <f ca="1">OFFSET(AA42,0,-1)+1</f>
        <v>4</v>
      </c>
      <c r="AB42" s="2277"/>
      <c r="AC42" s="1252">
        <f ca="1">OFFSET(AC42,0,-2)+1</f>
        <v>5</v>
      </c>
      <c r="AD42" s="1252">
        <f ca="1">OFFSET(AD42,0,-1)+1</f>
        <v>6</v>
      </c>
      <c r="AE42" s="1252"/>
      <c r="AF42" s="1252">
        <f ca="1">OFFSET(AF42,0,-1)+1</f>
        <v>1</v>
      </c>
      <c r="AG42" s="1252">
        <f ca="1">OFFSET(AG42,0,-1)+1</f>
        <v>2</v>
      </c>
      <c r="AH42" s="1252">
        <f ca="1">OFFSET(AH42,0,-1)+1</f>
        <v>3</v>
      </c>
      <c r="AI42" s="2277">
        <f ca="1">OFFSET(AI42,0,-1)+1</f>
        <v>4</v>
      </c>
      <c r="AJ42" s="2277"/>
      <c r="AK42" s="1252">
        <f ca="1">OFFSET(AK42,0,-2)+1</f>
        <v>5</v>
      </c>
      <c r="AL42" s="1154">
        <f ca="1">OFFSET(AL42,0,-1)</f>
        <v>5</v>
      </c>
      <c r="AM42" s="1252">
        <f ca="1">OFFSET(AM42,0,-1)+1</f>
        <v>6</v>
      </c>
      <c r="AN42" s="437"/>
      <c r="AO42" s="437"/>
      <c r="AP42" s="437"/>
      <c r="AQ42" s="437"/>
      <c r="AR42" s="437"/>
    </row>
    <row r="43" spans="1:44" ht="21" customHeight="1">
      <c r="A43" s="1279" t="s">
        <v>185</v>
      </c>
      <c r="B43" s="1279"/>
      <c r="C43" s="1279"/>
      <c r="D43" s="1279"/>
      <c r="E43" s="2270">
        <v>1</v>
      </c>
      <c r="F43" s="1279"/>
      <c r="G43" s="1279"/>
      <c r="H43" s="1279"/>
      <c r="I43" s="1279"/>
      <c r="J43" s="1279"/>
      <c r="K43" s="1279"/>
      <c r="L43" s="1280"/>
      <c r="M43" s="1281"/>
      <c r="N43" s="1281"/>
      <c r="O43" s="1281"/>
      <c r="P43" s="286"/>
      <c r="Q43" s="285"/>
      <c r="R43" s="280"/>
      <c r="S43" s="1253">
        <f>INDEX(PT_DIFFERENTIATION_NUM_NTAR,MATCH(A43,PT_DIFFERENTIATION_NTAR_ID,0))</f>
        <v>0</v>
      </c>
      <c r="T43" s="216" t="s">
        <v>122</v>
      </c>
      <c r="U43" s="218"/>
      <c r="V43" s="2256"/>
      <c r="W43" s="2257"/>
      <c r="X43" s="2257"/>
      <c r="Y43" s="2257"/>
      <c r="Z43" s="2257"/>
      <c r="AA43" s="2257"/>
      <c r="AB43" s="2257"/>
      <c r="AC43" s="2258"/>
      <c r="AD43" s="2256" t="str">
        <f>INDEX(PT_DIFFERENTIATION_NTAR,MATCH(A43,PT_DIFFERENTIATION_NTAR_ID,0))</f>
        <v/>
      </c>
      <c r="AE43" s="2257"/>
      <c r="AF43" s="2257"/>
      <c r="AG43" s="2257"/>
      <c r="AH43" s="2257"/>
      <c r="AI43" s="2257"/>
      <c r="AJ43" s="2257"/>
      <c r="AK43" s="2257"/>
      <c r="AL43" s="2258"/>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6"/>
      <c r="AP43" s="426" t="str">
        <f t="shared" ref="AP43:AP57" si="1">IF(T43="","",T43)</f>
        <v>Наименование тарифа</v>
      </c>
      <c r="AQ43" s="426"/>
      <c r="AR43" s="426"/>
    </row>
    <row r="44" spans="1:44" ht="21" customHeight="1">
      <c r="A44" s="1279" t="s">
        <v>185</v>
      </c>
      <c r="B44" s="1279" t="s">
        <v>186</v>
      </c>
      <c r="C44" s="1279"/>
      <c r="D44" s="1279"/>
      <c r="E44" s="2271"/>
      <c r="F44" s="2270">
        <v>1</v>
      </c>
      <c r="G44" s="1279"/>
      <c r="H44" s="1279"/>
      <c r="I44" s="1279"/>
      <c r="J44" s="1279"/>
      <c r="K44" s="1279"/>
      <c r="L44" s="1280"/>
      <c r="M44" s="1281"/>
      <c r="N44" s="1281"/>
      <c r="O44" s="1281"/>
      <c r="P44" s="1249"/>
      <c r="Q44" s="277"/>
      <c r="R44" s="278"/>
      <c r="S44" s="1253" t="str">
        <f>INDEX(PT_DIFFERENTIATION_NUM_TER,MATCH(B44,PT_DIFFERENTIATION_TER_ID,0))</f>
        <v>.</v>
      </c>
      <c r="T44" s="228" t="s">
        <v>388</v>
      </c>
      <c r="U44" s="218"/>
      <c r="V44" s="2256"/>
      <c r="W44" s="2257"/>
      <c r="X44" s="2257"/>
      <c r="Y44" s="2257"/>
      <c r="Z44" s="2257"/>
      <c r="AA44" s="2257"/>
      <c r="AB44" s="2257"/>
      <c r="AC44" s="2258"/>
      <c r="AD44" s="2256" t="str">
        <f>INDEX(PT_DIFFERENTIATION_TER,MATCH(B44,PT_DIFFERENTIATION_TER_ID,0))</f>
        <v/>
      </c>
      <c r="AE44" s="2257"/>
      <c r="AF44" s="2257"/>
      <c r="AG44" s="2257"/>
      <c r="AH44" s="2257"/>
      <c r="AI44" s="2257"/>
      <c r="AJ44" s="2257"/>
      <c r="AK44" s="2257"/>
      <c r="AL44" s="2258"/>
      <c r="AM44" s="1177" t="s">
        <v>389</v>
      </c>
      <c r="AO44" s="426"/>
      <c r="AP44" s="426" t="str">
        <f t="shared" si="1"/>
        <v>Территория действия тарифа</v>
      </c>
      <c r="AQ44" s="426"/>
      <c r="AR44" s="426"/>
    </row>
    <row r="45" spans="1:44" ht="23.25" customHeight="1">
      <c r="A45" s="1279" t="s">
        <v>185</v>
      </c>
      <c r="B45" s="1279" t="s">
        <v>186</v>
      </c>
      <c r="C45" s="1279" t="s">
        <v>187</v>
      </c>
      <c r="D45" s="1279"/>
      <c r="E45" s="2271"/>
      <c r="F45" s="2271"/>
      <c r="G45" s="2270">
        <v>1</v>
      </c>
      <c r="H45" s="1279"/>
      <c r="I45" s="1279"/>
      <c r="J45" s="1279"/>
      <c r="K45" s="1279"/>
      <c r="L45" s="1280"/>
      <c r="M45" s="1281"/>
      <c r="N45" s="1281"/>
      <c r="O45" s="1281"/>
      <c r="P45" s="279"/>
      <c r="Q45" s="277"/>
      <c r="R45" s="278"/>
      <c r="S45" s="1253" t="str">
        <f>INDEX(PT_DIFFERENTIATION_NUM_CS,MATCH(C45,PT_DIFFERENTIATION_CS_ID,0))</f>
        <v>..</v>
      </c>
      <c r="T45" s="229" t="s">
        <v>390</v>
      </c>
      <c r="U45" s="218"/>
      <c r="V45" s="2256"/>
      <c r="W45" s="2257"/>
      <c r="X45" s="2257"/>
      <c r="Y45" s="2257"/>
      <c r="Z45" s="2257"/>
      <c r="AA45" s="2257"/>
      <c r="AB45" s="2257"/>
      <c r="AC45" s="2258"/>
      <c r="AD45" s="2256" t="str">
        <f>INDEX(PT_DIFFERENTIATION_CS,MATCH(C45,PT_DIFFERENTIATION_CS_ID,0))</f>
        <v/>
      </c>
      <c r="AE45" s="2257"/>
      <c r="AF45" s="2257"/>
      <c r="AG45" s="2257"/>
      <c r="AH45" s="2257"/>
      <c r="AI45" s="2257"/>
      <c r="AJ45" s="2257"/>
      <c r="AK45" s="2257"/>
      <c r="AL45" s="2258"/>
      <c r="AM45" s="1177" t="s">
        <v>391</v>
      </c>
      <c r="AO45" s="426"/>
      <c r="AP45" s="426" t="str">
        <f t="shared" si="1"/>
        <v xml:space="preserve">Наименование системы теплоснабжения </v>
      </c>
      <c r="AQ45" s="426"/>
      <c r="AR45" s="426"/>
    </row>
    <row r="46" spans="1:44" ht="21" customHeight="1">
      <c r="A46" s="1279" t="s">
        <v>185</v>
      </c>
      <c r="B46" s="1279" t="s">
        <v>186</v>
      </c>
      <c r="C46" s="1279" t="s">
        <v>187</v>
      </c>
      <c r="D46" s="1279" t="s">
        <v>188</v>
      </c>
      <c r="E46" s="2271"/>
      <c r="F46" s="2271"/>
      <c r="G46" s="2271"/>
      <c r="H46" s="2270">
        <v>1</v>
      </c>
      <c r="I46" s="1279"/>
      <c r="J46" s="1279"/>
      <c r="K46" s="1279"/>
      <c r="L46" s="1280"/>
      <c r="M46" s="1281"/>
      <c r="N46" s="1281"/>
      <c r="O46" s="1281"/>
      <c r="P46" s="279"/>
      <c r="Q46" s="277"/>
      <c r="R46" s="278"/>
      <c r="S46" s="1253" t="str">
        <f>INDEX(PT_DIFFERENTIATION_NUM_IST_TE,MATCH(D46,PT_DIFFERENTIATION_IST_TE_ID,0))</f>
        <v>...</v>
      </c>
      <c r="T46" s="230" t="s">
        <v>392</v>
      </c>
      <c r="U46" s="218"/>
      <c r="V46" s="2256"/>
      <c r="W46" s="2257"/>
      <c r="X46" s="2257"/>
      <c r="Y46" s="2257"/>
      <c r="Z46" s="2257"/>
      <c r="AA46" s="2257"/>
      <c r="AB46" s="2257"/>
      <c r="AC46" s="2258"/>
      <c r="AD46" s="2256" t="str">
        <f>INDEX(PT_DIFFERENTIATION_IST_TE,MATCH(D46,PT_DIFFERENTIATION_IST_TE_ID,0))</f>
        <v/>
      </c>
      <c r="AE46" s="2257"/>
      <c r="AF46" s="2257"/>
      <c r="AG46" s="2257"/>
      <c r="AH46" s="2257"/>
      <c r="AI46" s="2257"/>
      <c r="AJ46" s="2257"/>
      <c r="AK46" s="2257"/>
      <c r="AL46" s="2258"/>
      <c r="AM46" s="1177" t="s">
        <v>393</v>
      </c>
      <c r="AO46" s="426"/>
      <c r="AP46" s="426" t="str">
        <f t="shared" si="1"/>
        <v xml:space="preserve">Источник тепловой энергии  </v>
      </c>
      <c r="AQ46" s="426"/>
      <c r="AR46" s="426"/>
    </row>
    <row r="47" spans="1:44" s="1820" customFormat="1" ht="0" hidden="1" customHeight="1">
      <c r="A47" s="1260" t="s">
        <v>185</v>
      </c>
      <c r="B47" s="1260" t="s">
        <v>186</v>
      </c>
      <c r="C47" s="1260" t="s">
        <v>187</v>
      </c>
      <c r="D47" s="1260" t="s">
        <v>188</v>
      </c>
      <c r="E47" s="2271"/>
      <c r="F47" s="2271"/>
      <c r="G47" s="2271"/>
      <c r="H47" s="2271"/>
      <c r="I47" s="2268" t="str">
        <f>S46&amp;".1"</f>
        <v>....1</v>
      </c>
      <c r="J47" s="1260"/>
      <c r="K47" s="1260"/>
      <c r="L47" s="1263" t="s">
        <v>394</v>
      </c>
      <c r="M47" s="436"/>
      <c r="N47" s="436"/>
      <c r="O47" s="436"/>
      <c r="P47" s="2269">
        <v>1</v>
      </c>
      <c r="Q47" s="1248"/>
      <c r="R47" s="281"/>
      <c r="S47" s="949"/>
      <c r="T47" s="1299"/>
      <c r="U47" s="1300"/>
      <c r="V47" s="2297"/>
      <c r="W47" s="2298"/>
      <c r="X47" s="2298"/>
      <c r="Y47" s="2298"/>
      <c r="Z47" s="2298"/>
      <c r="AA47" s="2298"/>
      <c r="AB47" s="2298"/>
      <c r="AC47" s="2299"/>
      <c r="AD47" s="2297"/>
      <c r="AE47" s="2298"/>
      <c r="AF47" s="2298"/>
      <c r="AG47" s="2298"/>
      <c r="AH47" s="2298"/>
      <c r="AI47" s="2298"/>
      <c r="AJ47" s="2298"/>
      <c r="AK47" s="2298"/>
      <c r="AL47" s="2299"/>
      <c r="AM47" s="1301"/>
      <c r="AO47" s="426"/>
      <c r="AP47" s="426" t="str">
        <f t="shared" si="1"/>
        <v/>
      </c>
      <c r="AQ47" s="426"/>
      <c r="AR47" s="426"/>
    </row>
    <row r="48" spans="1:44" ht="21" customHeight="1">
      <c r="A48" s="1279" t="s">
        <v>185</v>
      </c>
      <c r="B48" s="1279" t="s">
        <v>186</v>
      </c>
      <c r="C48" s="1279" t="s">
        <v>187</v>
      </c>
      <c r="D48" s="1279" t="s">
        <v>188</v>
      </c>
      <c r="E48" s="2271"/>
      <c r="F48" s="2271"/>
      <c r="G48" s="2271"/>
      <c r="H48" s="2271"/>
      <c r="I48" s="2291"/>
      <c r="J48" s="2268" t="str">
        <f>S46&amp;".1"</f>
        <v>....1</v>
      </c>
      <c r="K48" s="1279"/>
      <c r="L48" s="1280" t="s">
        <v>397</v>
      </c>
      <c r="P48" s="2269"/>
      <c r="Q48" s="2269">
        <v>1</v>
      </c>
      <c r="R48" s="282"/>
      <c r="S48" s="1253" t="str">
        <f>$J48</f>
        <v>....1</v>
      </c>
      <c r="T48" s="204" t="s">
        <v>398</v>
      </c>
      <c r="U48" s="218"/>
      <c r="V48" s="2259"/>
      <c r="W48" s="2260"/>
      <c r="X48" s="2260"/>
      <c r="Y48" s="2260"/>
      <c r="Z48" s="2260"/>
      <c r="AA48" s="2260"/>
      <c r="AB48" s="2260"/>
      <c r="AC48" s="2261"/>
      <c r="AD48" s="2259"/>
      <c r="AE48" s="2260"/>
      <c r="AF48" s="2260"/>
      <c r="AG48" s="2260"/>
      <c r="AH48" s="2260"/>
      <c r="AI48" s="2260"/>
      <c r="AJ48" s="2260"/>
      <c r="AK48" s="2260"/>
      <c r="AL48" s="2261"/>
      <c r="AM48" s="1177" t="s">
        <v>399</v>
      </c>
      <c r="AO48" s="426"/>
      <c r="AP48" s="426" t="str">
        <f t="shared" si="1"/>
        <v>Группа потребителей</v>
      </c>
      <c r="AQ48" s="426"/>
      <c r="AR48" s="426"/>
    </row>
    <row r="49" spans="1:44" ht="21" customHeight="1">
      <c r="A49" s="1279" t="s">
        <v>185</v>
      </c>
      <c r="B49" s="1279" t="s">
        <v>186</v>
      </c>
      <c r="C49" s="1279" t="s">
        <v>187</v>
      </c>
      <c r="D49" s="1279" t="s">
        <v>188</v>
      </c>
      <c r="E49" s="2271"/>
      <c r="F49" s="2271"/>
      <c r="G49" s="2271"/>
      <c r="H49" s="2271"/>
      <c r="I49" s="2291"/>
      <c r="J49" s="2291"/>
      <c r="K49" s="2268" t="str">
        <f>J48&amp;".1"</f>
        <v>....1.1</v>
      </c>
      <c r="L49" s="1280" t="s">
        <v>400</v>
      </c>
      <c r="P49" s="2269"/>
      <c r="Q49" s="2269"/>
      <c r="R49" s="282">
        <v>1</v>
      </c>
      <c r="S49" s="1253" t="str">
        <f>$K49</f>
        <v>....1.1</v>
      </c>
      <c r="T49" s="1264"/>
      <c r="U49" s="218"/>
      <c r="V49" s="668"/>
      <c r="W49" s="250"/>
      <c r="X49" s="668"/>
      <c r="Y49" s="1176"/>
      <c r="Z49" s="2273"/>
      <c r="AA49" s="2124" t="s">
        <v>61</v>
      </c>
      <c r="AB49" s="2273"/>
      <c r="AC49" s="2124" t="s">
        <v>61</v>
      </c>
      <c r="AD49" s="668"/>
      <c r="AE49" s="250"/>
      <c r="AF49" s="668"/>
      <c r="AG49" s="1176"/>
      <c r="AH49" s="2273"/>
      <c r="AI49" s="2124" t="s">
        <v>61</v>
      </c>
      <c r="AJ49" s="2292"/>
      <c r="AK49" s="2124" t="s">
        <v>61</v>
      </c>
      <c r="AL49" s="1265"/>
      <c r="AM49" s="2265" t="s">
        <v>438</v>
      </c>
      <c r="AN49" s="437" t="e">
        <f ca="1">STRCHECKDATE(V50:AL50)</f>
        <v>#NAME?</v>
      </c>
      <c r="AO49" s="426"/>
      <c r="AP49" s="426" t="str">
        <f t="shared" si="1"/>
        <v/>
      </c>
      <c r="AQ49" s="426"/>
      <c r="AR49" s="426"/>
    </row>
    <row r="50" spans="1:44" ht="0" hidden="1" customHeight="1">
      <c r="A50" s="1279" t="s">
        <v>185</v>
      </c>
      <c r="B50" s="1279" t="s">
        <v>186</v>
      </c>
      <c r="C50" s="1279" t="s">
        <v>187</v>
      </c>
      <c r="D50" s="1279" t="s">
        <v>188</v>
      </c>
      <c r="E50" s="2271"/>
      <c r="F50" s="2271"/>
      <c r="G50" s="2271"/>
      <c r="H50" s="2271"/>
      <c r="I50" s="2291"/>
      <c r="J50" s="2291"/>
      <c r="K50" s="2268"/>
      <c r="L50" s="1280"/>
      <c r="P50" s="2269"/>
      <c r="Q50" s="2269"/>
      <c r="R50" s="282"/>
      <c r="S50" s="1259"/>
      <c r="T50" s="218"/>
      <c r="U50" s="218"/>
      <c r="V50" s="250"/>
      <c r="W50" s="250"/>
      <c r="X50" s="250"/>
      <c r="Y50" s="254" t="str">
        <f>Z49&amp;"-"&amp;AB49</f>
        <v>-</v>
      </c>
      <c r="Z50" s="2274"/>
      <c r="AA50" s="2124"/>
      <c r="AB50" s="2274"/>
      <c r="AC50" s="2124"/>
      <c r="AD50" s="250"/>
      <c r="AE50" s="250"/>
      <c r="AF50" s="250"/>
      <c r="AG50" s="254" t="str">
        <f>AH49&amp;"-"&amp;AJ49</f>
        <v>-</v>
      </c>
      <c r="AH50" s="2274"/>
      <c r="AI50" s="2124"/>
      <c r="AJ50" s="2293"/>
      <c r="AK50" s="2124"/>
      <c r="AL50" s="1266"/>
      <c r="AM50" s="2266"/>
      <c r="AO50" s="426"/>
      <c r="AP50" s="426" t="str">
        <f t="shared" si="1"/>
        <v/>
      </c>
      <c r="AQ50" s="426"/>
      <c r="AR50" s="426"/>
    </row>
    <row r="51" spans="1:44" ht="11.25" customHeight="1">
      <c r="A51" s="1279" t="s">
        <v>185</v>
      </c>
      <c r="B51" s="1279" t="s">
        <v>186</v>
      </c>
      <c r="C51" s="1279" t="s">
        <v>187</v>
      </c>
      <c r="D51" s="1279" t="s">
        <v>188</v>
      </c>
      <c r="E51" s="2271"/>
      <c r="F51" s="2271"/>
      <c r="G51" s="2271"/>
      <c r="H51" s="2271"/>
      <c r="I51" s="2291"/>
      <c r="J51" s="2268"/>
      <c r="K51" s="1279"/>
      <c r="L51" s="1280"/>
      <c r="P51" s="2269"/>
      <c r="Q51" s="2269"/>
      <c r="R51" s="281"/>
      <c r="S51" s="1198"/>
      <c r="T51" s="205" t="s">
        <v>402</v>
      </c>
      <c r="U51" s="295"/>
      <c r="V51" s="295"/>
      <c r="W51" s="295"/>
      <c r="X51" s="295"/>
      <c r="Y51" s="295"/>
      <c r="Z51" s="295"/>
      <c r="AA51" s="295"/>
      <c r="AB51" s="295"/>
      <c r="AC51" s="295"/>
      <c r="AD51" s="295"/>
      <c r="AE51" s="295"/>
      <c r="AF51" s="295"/>
      <c r="AG51" s="295"/>
      <c r="AH51" s="295"/>
      <c r="AI51" s="295"/>
      <c r="AJ51" s="295"/>
      <c r="AK51" s="295"/>
      <c r="AL51" s="249"/>
      <c r="AM51" s="2267"/>
      <c r="AO51" s="426"/>
      <c r="AP51" s="426" t="str">
        <f t="shared" si="1"/>
        <v>Добавить вид теплоносителя (параметры теплоносителя)</v>
      </c>
      <c r="AQ51" s="426"/>
      <c r="AR51" s="426"/>
    </row>
    <row r="52" spans="1:44" ht="11.25" customHeight="1">
      <c r="A52" s="1279" t="s">
        <v>185</v>
      </c>
      <c r="B52" s="1279" t="s">
        <v>186</v>
      </c>
      <c r="C52" s="1279" t="s">
        <v>187</v>
      </c>
      <c r="D52" s="1279" t="s">
        <v>188</v>
      </c>
      <c r="E52" s="2271"/>
      <c r="F52" s="2271"/>
      <c r="G52" s="2271"/>
      <c r="H52" s="2271"/>
      <c r="I52" s="2268"/>
      <c r="J52" s="1279"/>
      <c r="K52" s="1279"/>
      <c r="L52" s="1280"/>
      <c r="P52" s="2269"/>
      <c r="Q52" s="1248"/>
      <c r="R52" s="281"/>
      <c r="S52" s="1198"/>
      <c r="T52" s="292" t="s">
        <v>403</v>
      </c>
      <c r="U52" s="295"/>
      <c r="V52" s="295"/>
      <c r="W52" s="295"/>
      <c r="X52" s="295"/>
      <c r="Y52" s="295"/>
      <c r="Z52" s="295"/>
      <c r="AA52" s="295"/>
      <c r="AB52" s="295"/>
      <c r="AC52" s="294"/>
      <c r="AD52" s="295"/>
      <c r="AE52" s="295"/>
      <c r="AF52" s="295"/>
      <c r="AG52" s="295"/>
      <c r="AH52" s="295"/>
      <c r="AI52" s="295"/>
      <c r="AJ52" s="295"/>
      <c r="AK52" s="294"/>
      <c r="AL52" s="295"/>
      <c r="AM52" s="221"/>
      <c r="AO52" s="426"/>
      <c r="AP52" s="426" t="str">
        <f t="shared" si="1"/>
        <v>Добавить группу потребителей</v>
      </c>
      <c r="AQ52" s="426"/>
      <c r="AR52" s="426"/>
    </row>
    <row r="53" spans="1:44" ht="0" hidden="1" customHeight="1">
      <c r="A53" s="1279" t="s">
        <v>185</v>
      </c>
      <c r="B53" s="1279" t="s">
        <v>186</v>
      </c>
      <c r="C53" s="1279" t="s">
        <v>187</v>
      </c>
      <c r="D53" s="1279" t="s">
        <v>188</v>
      </c>
      <c r="E53" s="2271"/>
      <c r="F53" s="2271"/>
      <c r="G53" s="2271"/>
      <c r="H53" s="2270"/>
      <c r="I53" s="1279"/>
      <c r="J53" s="1279"/>
      <c r="K53" s="1279"/>
      <c r="L53" s="1280"/>
      <c r="M53" s="1281"/>
      <c r="N53" s="1281"/>
      <c r="O53" s="462"/>
      <c r="P53" s="285"/>
      <c r="Q53" s="304"/>
      <c r="R53" s="280"/>
      <c r="S53" s="1302"/>
      <c r="T53" s="1303"/>
      <c r="U53" s="1304"/>
      <c r="V53" s="1304"/>
      <c r="W53" s="1304"/>
      <c r="X53" s="1304"/>
      <c r="Y53" s="1304"/>
      <c r="Z53" s="1304"/>
      <c r="AA53" s="1304"/>
      <c r="AB53" s="1304"/>
      <c r="AC53" s="1304"/>
      <c r="AD53" s="1304"/>
      <c r="AE53" s="1304"/>
      <c r="AF53" s="1304"/>
      <c r="AG53" s="1304"/>
      <c r="AH53" s="1304"/>
      <c r="AI53" s="1304"/>
      <c r="AJ53" s="1304"/>
      <c r="AK53" s="1304"/>
      <c r="AL53" s="1304"/>
      <c r="AM53" s="1305"/>
      <c r="AO53" s="426"/>
      <c r="AP53" s="426" t="str">
        <f t="shared" si="1"/>
        <v/>
      </c>
      <c r="AQ53" s="426"/>
      <c r="AR53" s="426"/>
    </row>
    <row r="54" spans="1:44" s="1930" customFormat="1" ht="0" hidden="1" customHeight="1">
      <c r="A54" s="1260" t="s">
        <v>185</v>
      </c>
      <c r="B54" s="1260" t="s">
        <v>186</v>
      </c>
      <c r="C54" s="1260" t="s">
        <v>187</v>
      </c>
      <c r="D54" s="1232"/>
      <c r="E54" s="2271"/>
      <c r="F54" s="2271"/>
      <c r="G54" s="2270"/>
      <c r="H54" s="1232"/>
      <c r="I54" s="1232"/>
      <c r="J54" s="1232"/>
      <c r="K54" s="1232"/>
      <c r="L54" s="1256"/>
      <c r="M54" s="1233"/>
      <c r="N54" s="1233"/>
      <c r="P54" s="1234"/>
      <c r="Q54" s="1235"/>
      <c r="R54" s="1234"/>
      <c r="S54" s="1240"/>
      <c r="T54" s="1243" t="s">
        <v>405</v>
      </c>
      <c r="U54" s="1242"/>
      <c r="V54" s="1242"/>
      <c r="W54" s="1242"/>
      <c r="X54" s="1242"/>
      <c r="Y54" s="1242"/>
      <c r="Z54" s="1242"/>
      <c r="AA54" s="1242"/>
      <c r="AB54" s="1242"/>
      <c r="AC54" s="1242"/>
      <c r="AD54" s="1242"/>
      <c r="AE54" s="1242"/>
      <c r="AF54" s="1242"/>
      <c r="AG54" s="1242"/>
      <c r="AH54" s="1242"/>
      <c r="AI54" s="1242"/>
      <c r="AJ54" s="1242"/>
      <c r="AK54" s="1242"/>
      <c r="AL54" s="1242"/>
      <c r="AM54" s="1242"/>
      <c r="AO54" s="706"/>
      <c r="AP54" s="706" t="str">
        <f t="shared" si="1"/>
        <v>Добавить источник для дифференциации</v>
      </c>
      <c r="AQ54" s="706"/>
      <c r="AR54" s="706"/>
    </row>
    <row r="55" spans="1:44" s="1930" customFormat="1" ht="0" hidden="1" customHeight="1">
      <c r="A55" s="1260" t="s">
        <v>185</v>
      </c>
      <c r="B55" s="1260" t="s">
        <v>186</v>
      </c>
      <c r="C55" s="1232"/>
      <c r="D55" s="1232"/>
      <c r="E55" s="2271"/>
      <c r="F55" s="2270"/>
      <c r="G55" s="1232"/>
      <c r="H55" s="1232"/>
      <c r="I55" s="1232"/>
      <c r="J55" s="1232"/>
      <c r="K55" s="1232"/>
      <c r="L55" s="1256"/>
      <c r="M55" s="1239"/>
      <c r="N55" s="1239"/>
      <c r="P55" s="1234"/>
      <c r="Q55" s="1235"/>
      <c r="R55" s="1234"/>
      <c r="S55" s="1240"/>
      <c r="T55" s="1243" t="s">
        <v>215</v>
      </c>
      <c r="U55" s="1242"/>
      <c r="V55" s="1242"/>
      <c r="W55" s="1242"/>
      <c r="X55" s="1242"/>
      <c r="Y55" s="1242"/>
      <c r="Z55" s="1242"/>
      <c r="AA55" s="1242"/>
      <c r="AB55" s="1242"/>
      <c r="AC55" s="1242"/>
      <c r="AD55" s="1242"/>
      <c r="AE55" s="1242"/>
      <c r="AF55" s="1242"/>
      <c r="AG55" s="1242"/>
      <c r="AH55" s="1242"/>
      <c r="AI55" s="1242"/>
      <c r="AJ55" s="1242"/>
      <c r="AK55" s="1242"/>
      <c r="AL55" s="1242"/>
      <c r="AM55" s="1242"/>
      <c r="AO55" s="706"/>
      <c r="AP55" s="706" t="str">
        <f t="shared" si="1"/>
        <v>Добавить централизованную систему для дифференциации</v>
      </c>
      <c r="AQ55" s="706"/>
      <c r="AR55" s="706"/>
    </row>
    <row r="56" spans="1:44" s="1820" customFormat="1" ht="0" hidden="1" customHeight="1">
      <c r="A56" s="1260" t="s">
        <v>185</v>
      </c>
      <c r="B56" s="1260"/>
      <c r="C56" s="1260"/>
      <c r="D56" s="1260"/>
      <c r="E56" s="2270"/>
      <c r="F56" s="1260"/>
      <c r="G56" s="1260"/>
      <c r="H56" s="1260"/>
      <c r="I56" s="1260"/>
      <c r="J56" s="1260"/>
      <c r="K56" s="1260"/>
      <c r="L56" s="1263"/>
      <c r="M56" s="1239"/>
      <c r="N56" s="1239"/>
      <c r="O56" s="444"/>
      <c r="P56" s="313"/>
      <c r="Q56" s="1261"/>
      <c r="R56" s="313"/>
      <c r="S56" s="1240"/>
      <c r="T56" s="1243" t="s">
        <v>216</v>
      </c>
      <c r="U56" s="1242"/>
      <c r="V56" s="1242"/>
      <c r="W56" s="1242"/>
      <c r="X56" s="1242"/>
      <c r="Y56" s="1242"/>
      <c r="Z56" s="1242"/>
      <c r="AA56" s="1242"/>
      <c r="AB56" s="1242"/>
      <c r="AC56" s="1242"/>
      <c r="AD56" s="1242"/>
      <c r="AE56" s="1242"/>
      <c r="AF56" s="1242"/>
      <c r="AG56" s="1242"/>
      <c r="AH56" s="1242"/>
      <c r="AI56" s="1242"/>
      <c r="AJ56" s="1242"/>
      <c r="AK56" s="1242"/>
      <c r="AL56" s="1242"/>
      <c r="AM56" s="1242"/>
      <c r="AO56" s="426"/>
      <c r="AP56" s="426" t="str">
        <f t="shared" si="1"/>
        <v>Добавить территорию для дифференциации</v>
      </c>
      <c r="AQ56" s="426"/>
      <c r="AR56" s="426"/>
    </row>
    <row r="57" spans="1:44" s="1930" customFormat="1" ht="5.25" customHeight="1">
      <c r="A57" s="1232"/>
      <c r="B57" s="1232"/>
      <c r="C57" s="1232"/>
      <c r="D57" s="1232"/>
      <c r="E57" s="1260"/>
      <c r="F57" s="1232"/>
      <c r="G57" s="1232"/>
      <c r="H57" s="1232"/>
      <c r="I57" s="1232"/>
      <c r="J57" s="1232"/>
      <c r="K57" s="1232"/>
      <c r="L57" s="1256"/>
      <c r="M57" s="1239"/>
      <c r="N57" s="1239"/>
      <c r="P57" s="1234"/>
      <c r="Q57" s="1235"/>
      <c r="R57" s="1234"/>
      <c r="S57" s="1240"/>
      <c r="T57" s="1243" t="s">
        <v>217</v>
      </c>
      <c r="U57" s="1242"/>
      <c r="V57" s="1242"/>
      <c r="W57" s="1242"/>
      <c r="X57" s="1242"/>
      <c r="Y57" s="1242"/>
      <c r="Z57" s="1242"/>
      <c r="AA57" s="1242"/>
      <c r="AB57" s="1242"/>
      <c r="AC57" s="1242"/>
      <c r="AD57" s="1242"/>
      <c r="AE57" s="1242"/>
      <c r="AF57" s="1242"/>
      <c r="AG57" s="1242"/>
      <c r="AH57" s="1242"/>
      <c r="AI57" s="1242"/>
      <c r="AJ57" s="1242"/>
      <c r="AK57" s="1242"/>
      <c r="AL57" s="1242"/>
      <c r="AM57" s="1242"/>
      <c r="AO57" s="706"/>
      <c r="AP57" s="706" t="str">
        <f t="shared" si="1"/>
        <v>Добавить наименование тарифа</v>
      </c>
      <c r="AQ57" s="706"/>
      <c r="AR57" s="706"/>
    </row>
    <row r="58" spans="1:44" ht="11.25" customHeight="1">
      <c r="M58" s="1060"/>
      <c r="N58" s="1060"/>
      <c r="O58" s="462"/>
      <c r="P58" s="1055"/>
      <c r="Q58" s="1055"/>
      <c r="R58" s="1055"/>
      <c r="S58" s="1055"/>
      <c r="AN58" s="1055"/>
      <c r="AO58" s="1055"/>
      <c r="AP58" s="1055"/>
      <c r="AQ58" s="1055"/>
      <c r="AR58" s="1055"/>
    </row>
    <row r="59" spans="1:44" ht="14.25" customHeight="1">
      <c r="O59" s="462"/>
      <c r="S59" s="1164"/>
      <c r="T59" s="2290"/>
      <c r="U59" s="2290"/>
      <c r="V59" s="2290"/>
      <c r="W59" s="2290"/>
      <c r="X59" s="2290"/>
      <c r="Y59" s="2290"/>
      <c r="Z59" s="2290"/>
      <c r="AA59" s="2290"/>
      <c r="AB59" s="2290"/>
      <c r="AC59" s="2290"/>
      <c r="AD59" s="2290"/>
      <c r="AE59" s="2290"/>
      <c r="AF59" s="2290"/>
      <c r="AG59" s="2290"/>
      <c r="AH59" s="2290"/>
      <c r="AI59" s="2290"/>
      <c r="AJ59" s="2290"/>
      <c r="AK59" s="2290"/>
      <c r="AL59" s="2290"/>
      <c r="AM59" s="2290"/>
    </row>
    <row r="60" spans="1:44" ht="14.25" customHeight="1">
      <c r="O60" s="462"/>
      <c r="T60" s="2290"/>
      <c r="U60" s="2290"/>
      <c r="V60" s="2290"/>
      <c r="W60" s="2290"/>
      <c r="X60" s="2290"/>
      <c r="Y60" s="2290"/>
      <c r="Z60" s="2290"/>
      <c r="AA60" s="2290"/>
      <c r="AB60" s="2290"/>
      <c r="AC60" s="2290"/>
      <c r="AD60" s="2290"/>
      <c r="AE60" s="2290"/>
      <c r="AF60" s="2290"/>
      <c r="AG60" s="2290"/>
      <c r="AH60" s="2290"/>
      <c r="AI60" s="2290"/>
      <c r="AJ60" s="2290"/>
      <c r="AK60" s="2290"/>
      <c r="AL60" s="2290"/>
      <c r="AM60" s="2290"/>
    </row>
    <row r="61" spans="1:44" ht="14.25" customHeight="1">
      <c r="O61" s="462"/>
      <c r="T61" s="2290"/>
      <c r="U61" s="2290"/>
      <c r="V61" s="2290"/>
      <c r="W61" s="2290"/>
      <c r="X61" s="2290"/>
      <c r="Y61" s="2290"/>
      <c r="Z61" s="2290"/>
      <c r="AA61" s="2290"/>
      <c r="AB61" s="2290"/>
      <c r="AC61" s="2290"/>
      <c r="AD61" s="2290"/>
      <c r="AE61" s="2290"/>
      <c r="AF61" s="2290"/>
      <c r="AG61" s="2290"/>
      <c r="AH61" s="2290"/>
      <c r="AI61" s="2290"/>
      <c r="AJ61" s="2290"/>
      <c r="AK61" s="2290"/>
      <c r="AL61" s="2290"/>
      <c r="AM61" s="2290"/>
    </row>
    <row r="62" spans="1:44" ht="14.25" customHeight="1">
      <c r="O62" s="462"/>
    </row>
    <row r="63" spans="1:44" ht="14.25" customHeight="1">
      <c r="O63" s="462"/>
      <c r="S63" s="1164"/>
      <c r="T63" s="2190"/>
      <c r="U63" s="2290"/>
      <c r="V63" s="2290"/>
      <c r="W63" s="2290"/>
      <c r="X63" s="2290"/>
      <c r="Y63" s="2290"/>
      <c r="Z63" s="2290"/>
      <c r="AA63" s="2290"/>
      <c r="AB63" s="2290"/>
      <c r="AC63" s="2290"/>
      <c r="AD63" s="2290"/>
      <c r="AE63" s="2290"/>
      <c r="AF63" s="2290"/>
      <c r="AG63" s="2290"/>
      <c r="AH63" s="2290"/>
      <c r="AI63" s="2290"/>
      <c r="AJ63" s="2290"/>
      <c r="AK63" s="2290"/>
      <c r="AL63" s="2290"/>
      <c r="AM63" s="2290"/>
    </row>
    <row r="64" spans="1:44" ht="14.25" customHeight="1">
      <c r="O64" s="462"/>
      <c r="T64" s="2290"/>
      <c r="U64" s="2290"/>
      <c r="V64" s="2290"/>
      <c r="W64" s="2290"/>
      <c r="X64" s="2290"/>
      <c r="Y64" s="2290"/>
      <c r="Z64" s="2290"/>
      <c r="AA64" s="2290"/>
      <c r="AB64" s="2290"/>
      <c r="AC64" s="2290"/>
      <c r="AD64" s="2290"/>
      <c r="AE64" s="2290"/>
      <c r="AF64" s="2290"/>
      <c r="AG64" s="2290"/>
      <c r="AH64" s="2290"/>
      <c r="AI64" s="2290"/>
      <c r="AJ64" s="2290"/>
      <c r="AK64" s="2290"/>
      <c r="AL64" s="2290"/>
      <c r="AM64" s="2290"/>
    </row>
    <row r="65" spans="20:39" ht="14.25" customHeight="1">
      <c r="T65" s="2290"/>
      <c r="U65" s="2290"/>
      <c r="V65" s="2290"/>
      <c r="W65" s="2290"/>
      <c r="X65" s="2290"/>
      <c r="Y65" s="2290"/>
      <c r="Z65" s="2290"/>
      <c r="AA65" s="2290"/>
      <c r="AB65" s="2290"/>
      <c r="AC65" s="2290"/>
      <c r="AD65" s="2290"/>
      <c r="AE65" s="2290"/>
      <c r="AF65" s="2290"/>
      <c r="AG65" s="2290"/>
      <c r="AH65" s="2290"/>
      <c r="AI65" s="2290"/>
      <c r="AJ65" s="2290"/>
      <c r="AK65" s="2290"/>
      <c r="AL65" s="2290"/>
      <c r="AM65" s="2290"/>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C5E6E-D2D3-987E-C342-B86599621B54}">
  <sheetPr>
    <tabColor theme="6" tint="0.39997558519241921"/>
  </sheetPr>
  <dimension ref="A1:AV71"/>
  <sheetViews>
    <sheetView showGridLines="0" topLeftCell="R29" zoomScale="90" workbookViewId="0"/>
  </sheetViews>
  <sheetFormatPr defaultColWidth="10.5703125" defaultRowHeight="14.25" customHeight="1"/>
  <cols>
    <col min="1" max="1" width="10.5703125" style="1905" hidden="1"/>
    <col min="2" max="2" width="11" style="1905" hidden="1" customWidth="1"/>
    <col min="3" max="3" width="10.5703125" style="1905" hidden="1"/>
    <col min="4" max="4" width="11.85546875" style="1905" hidden="1" customWidth="1"/>
    <col min="5" max="5" width="10" style="1905" hidden="1" customWidth="1"/>
    <col min="6" max="6" width="8.7109375" style="1905" hidden="1" customWidth="1"/>
    <col min="7" max="7" width="7.5703125" style="1905" hidden="1" customWidth="1"/>
    <col min="8" max="8" width="11.42578125" style="1905" hidden="1" customWidth="1"/>
    <col min="9" max="9" width="12" style="1905" hidden="1" customWidth="1"/>
    <col min="10" max="10" width="9.85546875" style="1905" hidden="1" customWidth="1"/>
    <col min="11" max="12" width="11.42578125" style="1905" hidden="1" customWidth="1"/>
    <col min="13" max="13" width="19.140625" style="1943" hidden="1" customWidth="1"/>
    <col min="14" max="15" width="12.28515625" style="1937" hidden="1" customWidth="1"/>
    <col min="16" max="16" width="23.42578125" style="1937" hidden="1" customWidth="1"/>
    <col min="17" max="17" width="3.7109375" style="1937" hidden="1" customWidth="1"/>
    <col min="18" max="20" width="3.7109375" style="1939" customWidth="1"/>
    <col min="21" max="21" width="12.7109375" style="1940" customWidth="1"/>
    <col min="22" max="22" width="32" style="1905" customWidth="1"/>
    <col min="23" max="23" width="0.140625" style="1905" customWidth="1"/>
    <col min="24" max="28" width="21.7109375" style="1905" hidden="1" customWidth="1"/>
    <col min="29" max="29" width="11.7109375" style="1905" hidden="1" customWidth="1"/>
    <col min="30" max="30" width="3.7109375" style="1905" hidden="1" customWidth="1"/>
    <col min="31" max="31" width="11.7109375" style="1905" hidden="1" customWidth="1"/>
    <col min="32" max="32" width="8.5703125" style="1905" hidden="1" customWidth="1"/>
    <col min="33" max="37" width="21.7109375" style="1905" customWidth="1"/>
    <col min="38" max="38" width="11.7109375" style="1905" customWidth="1"/>
    <col min="39" max="39" width="3.7109375" style="1905" customWidth="1"/>
    <col min="40" max="40" width="11.7109375" style="1905" customWidth="1"/>
    <col min="41" max="41" width="8.5703125" style="1905" customWidth="1"/>
    <col min="42" max="42" width="4.7109375" style="1905" customWidth="1"/>
    <col min="43" max="43" width="115.7109375" style="1905" customWidth="1"/>
    <col min="44" max="45" width="10.5703125" style="1820"/>
    <col min="46" max="46" width="11.140625" style="1820" customWidth="1"/>
    <col min="47" max="48" width="10.5703125" style="1820"/>
  </cols>
  <sheetData>
    <row r="1" spans="1:48" ht="14.25" hidden="1" customHeight="1">
      <c r="AB1" s="253"/>
      <c r="AC1" s="253"/>
      <c r="AK1" s="253"/>
      <c r="AL1" s="253"/>
    </row>
    <row r="2" spans="1:48" ht="21" hidden="1" customHeight="1">
      <c r="A2" s="1186"/>
      <c r="B2" s="1186"/>
      <c r="C2" s="1186"/>
      <c r="D2" s="1186"/>
      <c r="E2" s="2300">
        <v>1</v>
      </c>
      <c r="F2" s="1186"/>
      <c r="G2" s="1186"/>
      <c r="H2" s="1186"/>
      <c r="I2" s="1186"/>
      <c r="J2" s="1186"/>
      <c r="K2" s="1186"/>
      <c r="L2" s="1186"/>
      <c r="M2" s="1228"/>
      <c r="N2" s="608"/>
      <c r="O2" s="608"/>
      <c r="P2" s="608"/>
      <c r="Q2" s="286"/>
      <c r="R2" s="285"/>
      <c r="S2" s="285"/>
      <c r="T2" s="280"/>
      <c r="U2" s="1253" t="e">
        <f>INDEX(PT_DIFFERENTIATION_NUM_NTAR,MATCH(A2,PT_DIFFERENTIATION_NTAR_ID,0))</f>
        <v>#N/A</v>
      </c>
      <c r="V2" s="216" t="s">
        <v>122</v>
      </c>
      <c r="W2" s="218"/>
      <c r="X2" s="2256"/>
      <c r="Y2" s="2257"/>
      <c r="Z2" s="2257"/>
      <c r="AA2" s="2257"/>
      <c r="AB2" s="2257"/>
      <c r="AC2" s="2257"/>
      <c r="AD2" s="2257"/>
      <c r="AE2" s="2257"/>
      <c r="AF2" s="2258"/>
      <c r="AG2" s="2256" t="e">
        <f>INDEX(PT_DIFFERENTIATION_NTAR,MATCH(A2,PT_DIFFERENTIATION_NTAR_ID,0))</f>
        <v>#N/A</v>
      </c>
      <c r="AH2" s="2257"/>
      <c r="AI2" s="2257"/>
      <c r="AJ2" s="2257"/>
      <c r="AK2" s="2257"/>
      <c r="AL2" s="2257"/>
      <c r="AM2" s="2257"/>
      <c r="AN2" s="2257"/>
      <c r="AO2" s="2257"/>
      <c r="AP2" s="2258"/>
      <c r="AQ2" s="1177" t="s">
        <v>387</v>
      </c>
      <c r="AS2" s="426"/>
      <c r="AT2" s="426" t="str">
        <f t="shared" ref="AT2:AT8" si="0">IF(V2="","",V2)</f>
        <v>Наименование тарифа</v>
      </c>
      <c r="AU2" s="426"/>
      <c r="AV2" s="426"/>
    </row>
    <row r="3" spans="1:48" ht="21" hidden="1" customHeight="1">
      <c r="A3" s="1186"/>
      <c r="B3" s="1186"/>
      <c r="C3" s="1186"/>
      <c r="D3" s="1186"/>
      <c r="E3" s="2301"/>
      <c r="F3" s="2300">
        <v>1</v>
      </c>
      <c r="G3" s="1186"/>
      <c r="H3" s="1186"/>
      <c r="I3" s="1186"/>
      <c r="J3" s="1186"/>
      <c r="K3" s="1186"/>
      <c r="L3" s="1186"/>
      <c r="M3" s="1228"/>
      <c r="N3" s="608"/>
      <c r="O3" s="608"/>
      <c r="P3" s="608"/>
      <c r="Q3" s="1249"/>
      <c r="R3" s="277"/>
      <c r="S3" s="435"/>
      <c r="T3" s="278"/>
      <c r="U3" s="1253" t="e">
        <f>INDEX(PT_DIFFERENTIATION_NUM_TER,MATCH(B3,PT_DIFFERENTIATION_TER_ID,0))</f>
        <v>#N/A</v>
      </c>
      <c r="V3" s="228" t="s">
        <v>388</v>
      </c>
      <c r="W3" s="218"/>
      <c r="X3" s="2256"/>
      <c r="Y3" s="2257"/>
      <c r="Z3" s="2257"/>
      <c r="AA3" s="2257"/>
      <c r="AB3" s="2257"/>
      <c r="AC3" s="2257"/>
      <c r="AD3" s="2257"/>
      <c r="AE3" s="2257"/>
      <c r="AF3" s="2258"/>
      <c r="AG3" s="2256" t="e">
        <f>INDEX(PT_DIFFERENTIATION_TER,MATCH(B3,PT_DIFFERENTIATION_TER_ID,0))</f>
        <v>#N/A</v>
      </c>
      <c r="AH3" s="2257"/>
      <c r="AI3" s="2257"/>
      <c r="AJ3" s="2257"/>
      <c r="AK3" s="2257"/>
      <c r="AL3" s="2257"/>
      <c r="AM3" s="2257"/>
      <c r="AN3" s="2257"/>
      <c r="AO3" s="2257"/>
      <c r="AP3" s="2258"/>
      <c r="AQ3" s="1177" t="s">
        <v>389</v>
      </c>
      <c r="AS3" s="426"/>
      <c r="AT3" s="426" t="str">
        <f t="shared" si="0"/>
        <v>Территория действия тарифа</v>
      </c>
      <c r="AU3" s="426"/>
      <c r="AV3" s="426"/>
    </row>
    <row r="4" spans="1:48" ht="22.5" hidden="1" customHeight="1">
      <c r="A4" s="1186"/>
      <c r="B4" s="1186"/>
      <c r="C4" s="1186"/>
      <c r="D4" s="1186"/>
      <c r="E4" s="2301"/>
      <c r="F4" s="2301"/>
      <c r="G4" s="2300">
        <v>1</v>
      </c>
      <c r="H4" s="1186"/>
      <c r="I4" s="1186"/>
      <c r="J4" s="1186"/>
      <c r="K4" s="1186"/>
      <c r="L4" s="1186"/>
      <c r="M4" s="1228"/>
      <c r="N4" s="608"/>
      <c r="O4" s="608"/>
      <c r="P4" s="608"/>
      <c r="Q4" s="279"/>
      <c r="R4" s="277"/>
      <c r="S4" s="435"/>
      <c r="T4" s="278"/>
      <c r="U4" s="1253" t="e">
        <f>INDEX(PT_DIFFERENTIATION_NUM_CS,MATCH(C4,PT_DIFFERENTIATION_CS_ID,0))</f>
        <v>#N/A</v>
      </c>
      <c r="V4" s="229" t="s">
        <v>390</v>
      </c>
      <c r="W4" s="218"/>
      <c r="X4" s="2256"/>
      <c r="Y4" s="2257"/>
      <c r="Z4" s="2257"/>
      <c r="AA4" s="2257"/>
      <c r="AB4" s="2257"/>
      <c r="AC4" s="2257"/>
      <c r="AD4" s="2257"/>
      <c r="AE4" s="2257"/>
      <c r="AF4" s="2258"/>
      <c r="AG4" s="2256" t="e">
        <f>INDEX(PT_DIFFERENTIATION_CS,MATCH(C4,PT_DIFFERENTIATION_CS_ID,0))</f>
        <v>#N/A</v>
      </c>
      <c r="AH4" s="2257"/>
      <c r="AI4" s="2257"/>
      <c r="AJ4" s="2257"/>
      <c r="AK4" s="2257"/>
      <c r="AL4" s="2257"/>
      <c r="AM4" s="2257"/>
      <c r="AN4" s="2257"/>
      <c r="AO4" s="2257"/>
      <c r="AP4" s="2258"/>
      <c r="AQ4" s="1177" t="s">
        <v>391</v>
      </c>
      <c r="AS4" s="426"/>
      <c r="AT4" s="426" t="str">
        <f t="shared" si="0"/>
        <v xml:space="preserve">Наименование системы теплоснабжения </v>
      </c>
      <c r="AU4" s="426"/>
      <c r="AV4" s="426"/>
    </row>
    <row r="5" spans="1:48" ht="21" hidden="1" customHeight="1">
      <c r="A5" s="1186"/>
      <c r="B5" s="1186"/>
      <c r="C5" s="1186"/>
      <c r="D5" s="1186"/>
      <c r="E5" s="2301"/>
      <c r="F5" s="2301"/>
      <c r="G5" s="2301"/>
      <c r="H5" s="2300">
        <v>1</v>
      </c>
      <c r="I5" s="1186"/>
      <c r="J5" s="1186"/>
      <c r="K5" s="1186"/>
      <c r="L5" s="1186"/>
      <c r="M5" s="1228"/>
      <c r="N5" s="608"/>
      <c r="O5" s="608"/>
      <c r="P5" s="608"/>
      <c r="Q5" s="279"/>
      <c r="R5" s="277"/>
      <c r="S5" s="435"/>
      <c r="T5" s="278"/>
      <c r="U5" s="1253" t="e">
        <f>INDEX(PT_DIFFERENTIATION_NUM_IST_TE,MATCH(D5,PT_DIFFERENTIATION_IST_TE_ID,0))</f>
        <v>#N/A</v>
      </c>
      <c r="V5" s="230" t="s">
        <v>392</v>
      </c>
      <c r="W5" s="218"/>
      <c r="X5" s="2256"/>
      <c r="Y5" s="2257"/>
      <c r="Z5" s="2257"/>
      <c r="AA5" s="2257"/>
      <c r="AB5" s="2257"/>
      <c r="AC5" s="2257"/>
      <c r="AD5" s="2257"/>
      <c r="AE5" s="2257"/>
      <c r="AF5" s="2258"/>
      <c r="AG5" s="2256" t="e">
        <f>INDEX(PT_DIFFERENTIATION_IST_TE,MATCH(D5,PT_DIFFERENTIATION_IST_TE_ID,0))</f>
        <v>#N/A</v>
      </c>
      <c r="AH5" s="2257"/>
      <c r="AI5" s="2257"/>
      <c r="AJ5" s="2257"/>
      <c r="AK5" s="2257"/>
      <c r="AL5" s="2257"/>
      <c r="AM5" s="2257"/>
      <c r="AN5" s="2257"/>
      <c r="AO5" s="2257"/>
      <c r="AP5" s="2258"/>
      <c r="AQ5" s="1177" t="s">
        <v>393</v>
      </c>
      <c r="AS5" s="426"/>
      <c r="AT5" s="426" t="str">
        <f t="shared" si="0"/>
        <v xml:space="preserve">Источник тепловой энергии  </v>
      </c>
      <c r="AU5" s="426"/>
      <c r="AV5" s="426"/>
    </row>
    <row r="6" spans="1:48" ht="14.25" hidden="1" customHeight="1">
      <c r="A6" s="1186"/>
      <c r="B6" s="1186"/>
      <c r="C6" s="1186"/>
      <c r="D6" s="1186"/>
      <c r="E6" s="2301"/>
      <c r="F6" s="2301"/>
      <c r="G6" s="2301"/>
      <c r="H6" s="2301"/>
      <c r="I6" s="2143" t="e">
        <f>U5&amp;".1"</f>
        <v>#N/A</v>
      </c>
      <c r="J6" s="1186"/>
      <c r="K6" s="1186"/>
      <c r="L6" s="1186"/>
      <c r="M6" s="1228" t="s">
        <v>394</v>
      </c>
      <c r="N6" s="435"/>
      <c r="Q6" s="2269">
        <v>1</v>
      </c>
      <c r="R6" s="1248"/>
      <c r="S6" s="1248"/>
      <c r="T6" s="281"/>
      <c r="U6" s="949"/>
      <c r="V6" s="1299"/>
      <c r="W6" s="1300"/>
      <c r="X6" s="2297"/>
      <c r="Y6" s="2298"/>
      <c r="Z6" s="2298"/>
      <c r="AA6" s="2298"/>
      <c r="AB6" s="2298"/>
      <c r="AC6" s="2298"/>
      <c r="AD6" s="2298"/>
      <c r="AE6" s="2298"/>
      <c r="AF6" s="2299"/>
      <c r="AG6" s="2297"/>
      <c r="AH6" s="2298"/>
      <c r="AI6" s="2298"/>
      <c r="AJ6" s="2298"/>
      <c r="AK6" s="2298"/>
      <c r="AL6" s="2298"/>
      <c r="AM6" s="2298"/>
      <c r="AN6" s="2298"/>
      <c r="AO6" s="2298"/>
      <c r="AP6" s="2299"/>
      <c r="AQ6" s="1301"/>
      <c r="AS6" s="426"/>
      <c r="AT6" s="426" t="str">
        <f t="shared" si="0"/>
        <v/>
      </c>
      <c r="AU6" s="426"/>
      <c r="AV6" s="426"/>
    </row>
    <row r="7" spans="1:48" ht="21" hidden="1" customHeight="1">
      <c r="A7" s="1186"/>
      <c r="B7" s="1186"/>
      <c r="C7" s="1186"/>
      <c r="D7" s="1186"/>
      <c r="E7" s="2301"/>
      <c r="F7" s="2301"/>
      <c r="G7" s="2301"/>
      <c r="H7" s="2301"/>
      <c r="I7" s="2115"/>
      <c r="J7" s="2143" t="e">
        <f>I6&amp;".1"</f>
        <v>#N/A</v>
      </c>
      <c r="K7" s="1186"/>
      <c r="L7" s="1186"/>
      <c r="M7" s="1228" t="s">
        <v>397</v>
      </c>
      <c r="N7" s="435"/>
      <c r="O7" s="253"/>
      <c r="Q7" s="2269"/>
      <c r="R7" s="2269">
        <v>1</v>
      </c>
      <c r="S7" s="444"/>
      <c r="T7" s="282"/>
      <c r="U7" s="1253" t="e">
        <f>$J7</f>
        <v>#N/A</v>
      </c>
      <c r="V7" s="204" t="s">
        <v>398</v>
      </c>
      <c r="W7" s="218"/>
      <c r="X7" s="2259"/>
      <c r="Y7" s="2260"/>
      <c r="Z7" s="2260"/>
      <c r="AA7" s="2260"/>
      <c r="AB7" s="2260"/>
      <c r="AC7" s="2252"/>
      <c r="AD7" s="2252"/>
      <c r="AE7" s="2252"/>
      <c r="AF7" s="2302"/>
      <c r="AG7" s="2259"/>
      <c r="AH7" s="2260"/>
      <c r="AI7" s="2260"/>
      <c r="AJ7" s="2260"/>
      <c r="AK7" s="2260"/>
      <c r="AL7" s="2260"/>
      <c r="AM7" s="2260"/>
      <c r="AN7" s="2260"/>
      <c r="AO7" s="2260"/>
      <c r="AP7" s="2261"/>
      <c r="AQ7" s="1177" t="s">
        <v>399</v>
      </c>
      <c r="AS7" s="426"/>
      <c r="AT7" s="426" t="str">
        <f t="shared" si="0"/>
        <v>Группа потребителей</v>
      </c>
      <c r="AU7" s="426"/>
      <c r="AV7" s="426"/>
    </row>
    <row r="8" spans="1:48" ht="21" hidden="1" customHeight="1">
      <c r="A8" s="1186"/>
      <c r="B8" s="1186"/>
      <c r="C8" s="1186"/>
      <c r="D8" s="1186"/>
      <c r="E8" s="2301"/>
      <c r="F8" s="2301"/>
      <c r="G8" s="2301"/>
      <c r="H8" s="2301"/>
      <c r="I8" s="2115"/>
      <c r="J8" s="2115"/>
      <c r="K8" s="2143" t="e">
        <f>J7&amp;".1"</f>
        <v>#N/A</v>
      </c>
      <c r="L8" s="65"/>
      <c r="M8" s="1228" t="s">
        <v>400</v>
      </c>
      <c r="N8" s="435"/>
      <c r="O8" s="253"/>
      <c r="P8" s="253"/>
      <c r="Q8" s="2269"/>
      <c r="R8" s="2269"/>
      <c r="S8" s="2269">
        <v>1</v>
      </c>
      <c r="T8" s="282"/>
      <c r="U8" s="1253" t="e">
        <f>$K8</f>
        <v>#N/A</v>
      </c>
      <c r="V8" s="1264"/>
      <c r="W8" s="218"/>
      <c r="X8" s="668"/>
      <c r="Y8" s="668"/>
      <c r="Z8" s="668"/>
      <c r="AA8" s="668"/>
      <c r="AB8" s="1321"/>
      <c r="AC8" s="2273"/>
      <c r="AD8" s="2124" t="s">
        <v>61</v>
      </c>
      <c r="AE8" s="2273"/>
      <c r="AF8" s="2124" t="s">
        <v>61</v>
      </c>
      <c r="AG8" s="1323"/>
      <c r="AH8" s="668"/>
      <c r="AI8" s="668"/>
      <c r="AJ8" s="668"/>
      <c r="AK8" s="1176"/>
      <c r="AL8" s="2273"/>
      <c r="AM8" s="2124" t="s">
        <v>61</v>
      </c>
      <c r="AN8" s="2273"/>
      <c r="AO8" s="2124" t="s">
        <v>61</v>
      </c>
      <c r="AP8" s="250"/>
      <c r="AQ8" s="1226" t="s">
        <v>439</v>
      </c>
      <c r="AR8" s="437" t="e">
        <f ca="1">STRCHECKDATE(X10:AP10)</f>
        <v>#NAME?</v>
      </c>
      <c r="AS8" s="426"/>
      <c r="AT8" s="426" t="str">
        <f t="shared" si="0"/>
        <v/>
      </c>
      <c r="AU8" s="426"/>
      <c r="AV8" s="426"/>
    </row>
    <row r="9" spans="1:48" ht="21" hidden="1" customHeight="1">
      <c r="A9" s="1186"/>
      <c r="B9" s="1186"/>
      <c r="C9" s="1186"/>
      <c r="D9" s="1186"/>
      <c r="E9" s="2301"/>
      <c r="F9" s="2301"/>
      <c r="G9" s="2301"/>
      <c r="H9" s="2301"/>
      <c r="I9" s="2115"/>
      <c r="J9" s="2115"/>
      <c r="K9" s="2115"/>
      <c r="L9" s="2143" t="e">
        <f>K8&amp;".1"</f>
        <v>#N/A</v>
      </c>
      <c r="M9" s="1228"/>
      <c r="N9" s="435"/>
      <c r="O9" s="253"/>
      <c r="P9" s="253"/>
      <c r="Q9" s="2269"/>
      <c r="R9" s="2269"/>
      <c r="S9" s="2269"/>
      <c r="T9" s="282"/>
      <c r="U9" s="1253" t="e">
        <f>$L9</f>
        <v>#N/A</v>
      </c>
      <c r="V9" s="1307"/>
      <c r="W9" s="218"/>
      <c r="X9" s="250"/>
      <c r="Y9" s="668"/>
      <c r="Z9" s="668"/>
      <c r="AA9" s="668"/>
      <c r="AB9" s="1321"/>
      <c r="AC9" s="2274"/>
      <c r="AD9" s="2124"/>
      <c r="AE9" s="2274"/>
      <c r="AF9" s="2124"/>
      <c r="AG9" s="1323"/>
      <c r="AH9" s="668"/>
      <c r="AI9" s="668"/>
      <c r="AJ9" s="668"/>
      <c r="AK9" s="1176"/>
      <c r="AL9" s="2274"/>
      <c r="AM9" s="2124"/>
      <c r="AN9" s="2274"/>
      <c r="AO9" s="2124"/>
      <c r="AP9" s="250"/>
      <c r="AQ9" s="2265" t="s">
        <v>440</v>
      </c>
      <c r="AS9" s="426"/>
      <c r="AT9" s="426"/>
      <c r="AU9" s="426"/>
      <c r="AV9" s="426"/>
    </row>
    <row r="10" spans="1:48" ht="14.25" hidden="1" customHeight="1">
      <c r="A10" s="1186"/>
      <c r="B10" s="1186"/>
      <c r="C10" s="1186"/>
      <c r="D10" s="1186"/>
      <c r="E10" s="2301"/>
      <c r="F10" s="2301"/>
      <c r="G10" s="2301"/>
      <c r="H10" s="2301"/>
      <c r="I10" s="2115"/>
      <c r="J10" s="2115"/>
      <c r="K10" s="2115"/>
      <c r="L10" s="2143"/>
      <c r="M10" s="1228"/>
      <c r="N10" s="435"/>
      <c r="O10" s="253"/>
      <c r="P10" s="253"/>
      <c r="Q10" s="2269"/>
      <c r="R10" s="2269"/>
      <c r="S10" s="2269"/>
      <c r="T10" s="282"/>
      <c r="U10" s="1259"/>
      <c r="V10" s="218"/>
      <c r="W10" s="218"/>
      <c r="X10" s="250"/>
      <c r="Y10" s="250"/>
      <c r="Z10" s="250"/>
      <c r="AA10" s="250"/>
      <c r="AB10" s="1322" t="str">
        <f>AC8&amp;"-"&amp;AE8</f>
        <v>-</v>
      </c>
      <c r="AC10" s="2274"/>
      <c r="AD10" s="2124"/>
      <c r="AE10" s="2274"/>
      <c r="AF10" s="2124"/>
      <c r="AG10" s="1298"/>
      <c r="AH10" s="250"/>
      <c r="AI10" s="250"/>
      <c r="AJ10" s="250"/>
      <c r="AK10" s="254" t="str">
        <f>AL8&amp;"-"&amp;AN8</f>
        <v>-</v>
      </c>
      <c r="AL10" s="2274"/>
      <c r="AM10" s="2124"/>
      <c r="AN10" s="2274"/>
      <c r="AO10" s="2124"/>
      <c r="AP10" s="250"/>
      <c r="AQ10" s="2266"/>
      <c r="AS10" s="426"/>
      <c r="AT10" s="426" t="str">
        <f>IF(V10="","",V10)</f>
        <v/>
      </c>
      <c r="AU10" s="426"/>
      <c r="AV10" s="426"/>
    </row>
    <row r="11" spans="1:48" ht="11.25" hidden="1" customHeight="1">
      <c r="A11" s="1186"/>
      <c r="B11" s="1186"/>
      <c r="C11" s="1186"/>
      <c r="D11" s="1186"/>
      <c r="E11" s="2301"/>
      <c r="F11" s="2301"/>
      <c r="G11" s="2301"/>
      <c r="H11" s="2301"/>
      <c r="I11" s="2115"/>
      <c r="J11" s="2115"/>
      <c r="K11" s="2143"/>
      <c r="L11" s="1186"/>
      <c r="M11" s="1228"/>
      <c r="N11" s="435"/>
      <c r="O11" s="253"/>
      <c r="P11" s="253"/>
      <c r="Q11" s="2269"/>
      <c r="R11" s="2269"/>
      <c r="S11" s="2269"/>
      <c r="T11" s="282"/>
      <c r="U11" s="1198"/>
      <c r="V11" s="206" t="s">
        <v>441</v>
      </c>
      <c r="W11" s="1308"/>
      <c r="X11" s="1309"/>
      <c r="Y11" s="1309"/>
      <c r="Z11" s="1309"/>
      <c r="AA11" s="1309"/>
      <c r="AB11" s="1310"/>
      <c r="AC11" s="2274"/>
      <c r="AD11" s="2124"/>
      <c r="AE11" s="2274"/>
      <c r="AF11" s="2124"/>
      <c r="AG11" s="1309"/>
      <c r="AH11" s="1309"/>
      <c r="AI11" s="1309"/>
      <c r="AJ11" s="1309"/>
      <c r="AK11" s="1310"/>
      <c r="AL11" s="2274"/>
      <c r="AM11" s="2124"/>
      <c r="AN11" s="2274"/>
      <c r="AO11" s="2124"/>
      <c r="AP11" s="1311"/>
      <c r="AQ11" s="2266"/>
      <c r="AS11" s="426"/>
      <c r="AT11" s="426"/>
      <c r="AU11" s="426"/>
      <c r="AV11" s="426"/>
    </row>
    <row r="12" spans="1:48" ht="15" hidden="1" customHeight="1">
      <c r="A12" s="1186"/>
      <c r="B12" s="1186"/>
      <c r="C12" s="1186"/>
      <c r="D12" s="1186"/>
      <c r="E12" s="2301"/>
      <c r="F12" s="2301"/>
      <c r="G12" s="2301"/>
      <c r="H12" s="2301"/>
      <c r="I12" s="2115"/>
      <c r="J12" s="2143"/>
      <c r="K12" s="1186"/>
      <c r="L12" s="1186"/>
      <c r="M12" s="1228"/>
      <c r="N12" s="435"/>
      <c r="O12" s="253"/>
      <c r="Q12" s="2269"/>
      <c r="R12" s="2269"/>
      <c r="S12" s="1248"/>
      <c r="T12" s="281"/>
      <c r="U12" s="1198"/>
      <c r="V12" s="205" t="s">
        <v>402</v>
      </c>
      <c r="W12" s="295"/>
      <c r="X12" s="295"/>
      <c r="Y12" s="295"/>
      <c r="Z12" s="295"/>
      <c r="AA12" s="295"/>
      <c r="AB12" s="295"/>
      <c r="AC12" s="1324"/>
      <c r="AD12" s="1324"/>
      <c r="AE12" s="1324"/>
      <c r="AF12" s="1324"/>
      <c r="AG12" s="295"/>
      <c r="AH12" s="295"/>
      <c r="AI12" s="295"/>
      <c r="AJ12" s="295"/>
      <c r="AK12" s="295"/>
      <c r="AL12" s="295"/>
      <c r="AM12" s="295"/>
      <c r="AN12" s="295"/>
      <c r="AO12" s="295"/>
      <c r="AP12" s="249"/>
      <c r="AQ12" s="2267"/>
      <c r="AS12" s="426"/>
      <c r="AT12" s="426" t="str">
        <f t="shared" ref="AT12:AT17" si="1">IF(V12="","",V12)</f>
        <v>Добавить вид теплоносителя (параметры теплоносителя)</v>
      </c>
      <c r="AU12" s="426"/>
      <c r="AV12" s="426"/>
    </row>
    <row r="13" spans="1:48" ht="11.25" hidden="1" customHeight="1">
      <c r="A13" s="1186"/>
      <c r="B13" s="1186"/>
      <c r="C13" s="1186"/>
      <c r="D13" s="1186"/>
      <c r="E13" s="2301"/>
      <c r="F13" s="2301"/>
      <c r="G13" s="2301"/>
      <c r="H13" s="2301"/>
      <c r="I13" s="2143"/>
      <c r="J13" s="1186"/>
      <c r="K13" s="1186"/>
      <c r="L13" s="1186"/>
      <c r="M13" s="1228"/>
      <c r="N13" s="435"/>
      <c r="Q13" s="2269"/>
      <c r="R13" s="1248"/>
      <c r="S13" s="1248"/>
      <c r="T13" s="281"/>
      <c r="U13" s="1198"/>
      <c r="V13" s="292" t="s">
        <v>403</v>
      </c>
      <c r="W13" s="295"/>
      <c r="X13" s="295"/>
      <c r="Y13" s="295"/>
      <c r="Z13" s="295"/>
      <c r="AA13" s="295"/>
      <c r="AB13" s="295"/>
      <c r="AC13" s="295"/>
      <c r="AD13" s="295"/>
      <c r="AE13" s="295"/>
      <c r="AF13" s="294"/>
      <c r="AG13" s="295"/>
      <c r="AH13" s="295"/>
      <c r="AI13" s="295"/>
      <c r="AJ13" s="295"/>
      <c r="AK13" s="295"/>
      <c r="AL13" s="295"/>
      <c r="AM13" s="295"/>
      <c r="AN13" s="295"/>
      <c r="AO13" s="294"/>
      <c r="AP13" s="295"/>
      <c r="AQ13" s="221"/>
      <c r="AS13" s="426"/>
      <c r="AT13" s="426" t="str">
        <f t="shared" si="1"/>
        <v>Добавить группу потребителей</v>
      </c>
      <c r="AU13" s="426"/>
      <c r="AV13" s="426"/>
    </row>
    <row r="14" spans="1:48" ht="14.25" hidden="1" customHeight="1">
      <c r="A14" s="1186"/>
      <c r="B14" s="1186"/>
      <c r="C14" s="1186"/>
      <c r="D14" s="1186"/>
      <c r="E14" s="2301"/>
      <c r="F14" s="2301"/>
      <c r="G14" s="2301"/>
      <c r="H14" s="2300"/>
      <c r="I14" s="1186"/>
      <c r="J14" s="1186"/>
      <c r="K14" s="1186"/>
      <c r="L14" s="1186"/>
      <c r="M14" s="1228"/>
      <c r="N14" s="608"/>
      <c r="O14" s="608"/>
      <c r="P14" s="435"/>
      <c r="Q14" s="285"/>
      <c r="R14" s="304"/>
      <c r="S14" s="280"/>
      <c r="T14" s="285"/>
      <c r="U14" s="1302"/>
      <c r="V14" s="1303"/>
      <c r="W14" s="1304"/>
      <c r="X14" s="1304"/>
      <c r="Y14" s="1304"/>
      <c r="Z14" s="1304"/>
      <c r="AA14" s="1304"/>
      <c r="AB14" s="1304"/>
      <c r="AC14" s="1304"/>
      <c r="AD14" s="1304"/>
      <c r="AE14" s="1304"/>
      <c r="AF14" s="1304"/>
      <c r="AG14" s="1304"/>
      <c r="AH14" s="1304"/>
      <c r="AI14" s="1304"/>
      <c r="AJ14" s="1304"/>
      <c r="AK14" s="1304"/>
      <c r="AL14" s="1304"/>
      <c r="AM14" s="1304"/>
      <c r="AN14" s="1304"/>
      <c r="AO14" s="1304"/>
      <c r="AP14" s="1304"/>
      <c r="AQ14" s="1305"/>
      <c r="AS14" s="426"/>
      <c r="AT14" s="426" t="str">
        <f t="shared" si="1"/>
        <v/>
      </c>
      <c r="AU14" s="426"/>
      <c r="AV14" s="426"/>
    </row>
    <row r="15" spans="1:48" s="1930" customFormat="1" ht="14.25" hidden="1" customHeight="1">
      <c r="A15" s="1290"/>
      <c r="B15" s="1290"/>
      <c r="C15" s="1290"/>
      <c r="D15" s="1290"/>
      <c r="E15" s="2301"/>
      <c r="F15" s="2301"/>
      <c r="G15" s="2300"/>
      <c r="H15" s="1290"/>
      <c r="I15" s="1290"/>
      <c r="J15" s="1290"/>
      <c r="K15" s="1290"/>
      <c r="L15" s="1290"/>
      <c r="M15" s="1293"/>
      <c r="N15" s="1294"/>
      <c r="O15" s="1294"/>
      <c r="P15" s="276"/>
      <c r="Q15" s="1234"/>
      <c r="R15" s="1235"/>
      <c r="S15" s="1234"/>
      <c r="T15" s="1234"/>
      <c r="U15" s="1236"/>
      <c r="V15" s="1237" t="s">
        <v>405</v>
      </c>
      <c r="W15" s="1238"/>
      <c r="X15" s="1238"/>
      <c r="Y15" s="1238"/>
      <c r="Z15" s="1238"/>
      <c r="AA15" s="1238"/>
      <c r="AB15" s="1238"/>
      <c r="AC15" s="1238"/>
      <c r="AD15" s="1238"/>
      <c r="AE15" s="1238"/>
      <c r="AF15" s="1238"/>
      <c r="AG15" s="1238"/>
      <c r="AH15" s="1238"/>
      <c r="AI15" s="1238"/>
      <c r="AJ15" s="1238"/>
      <c r="AK15" s="1238"/>
      <c r="AL15" s="1238"/>
      <c r="AM15" s="1238"/>
      <c r="AN15" s="1238"/>
      <c r="AO15" s="1238"/>
      <c r="AP15" s="1238"/>
      <c r="AQ15" s="1238"/>
      <c r="AS15" s="706"/>
      <c r="AT15" s="706" t="str">
        <f t="shared" si="1"/>
        <v>Добавить источник для дифференциации</v>
      </c>
      <c r="AU15" s="706"/>
      <c r="AV15" s="706"/>
    </row>
    <row r="16" spans="1:48" s="1930" customFormat="1" ht="14.25" hidden="1" customHeight="1">
      <c r="A16" s="1290"/>
      <c r="B16" s="1290"/>
      <c r="C16" s="1290"/>
      <c r="D16" s="1290"/>
      <c r="E16" s="2301"/>
      <c r="F16" s="2300"/>
      <c r="G16" s="1290"/>
      <c r="H16" s="1290"/>
      <c r="I16" s="1290"/>
      <c r="J16" s="1290"/>
      <c r="K16" s="1290"/>
      <c r="L16" s="1290"/>
      <c r="M16" s="1293"/>
      <c r="N16" s="1295"/>
      <c r="O16" s="1295"/>
      <c r="P16" s="276"/>
      <c r="Q16" s="1234"/>
      <c r="R16" s="1235"/>
      <c r="S16" s="1234"/>
      <c r="T16" s="1234"/>
      <c r="U16" s="1240"/>
      <c r="V16" s="1241" t="s">
        <v>215</v>
      </c>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S16" s="706"/>
      <c r="AT16" s="706" t="str">
        <f t="shared" si="1"/>
        <v>Добавить централизованную систему для дифференциации</v>
      </c>
      <c r="AU16" s="706"/>
      <c r="AV16" s="706"/>
    </row>
    <row r="17" spans="1:48" s="1930" customFormat="1" ht="14.25" hidden="1" customHeight="1">
      <c r="A17" s="1290"/>
      <c r="B17" s="1290"/>
      <c r="C17" s="1290"/>
      <c r="D17" s="1290"/>
      <c r="E17" s="2300"/>
      <c r="F17" s="1290"/>
      <c r="G17" s="1290"/>
      <c r="H17" s="1290"/>
      <c r="I17" s="1290"/>
      <c r="J17" s="1290"/>
      <c r="K17" s="1290"/>
      <c r="L17" s="1290"/>
      <c r="M17" s="1293"/>
      <c r="N17" s="1295"/>
      <c r="O17" s="1295"/>
      <c r="P17" s="276"/>
      <c r="Q17" s="1234"/>
      <c r="R17" s="1235"/>
      <c r="S17" s="1234"/>
      <c r="T17" s="1234"/>
      <c r="U17" s="1240"/>
      <c r="V17" s="1243" t="s">
        <v>216</v>
      </c>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S17" s="706"/>
      <c r="AT17" s="706" t="str">
        <f t="shared" si="1"/>
        <v>Добавить территорию для дифференциации</v>
      </c>
      <c r="AU17" s="706"/>
      <c r="AV17" s="706"/>
    </row>
    <row r="18" spans="1:48" ht="14.25" hidden="1" customHeight="1">
      <c r="AF18" s="253"/>
      <c r="AO18" s="253"/>
    </row>
    <row r="19" spans="1:48" ht="14.25" hidden="1" customHeight="1">
      <c r="AG19" s="1276"/>
      <c r="AH19" s="1276"/>
      <c r="AI19" s="1276"/>
      <c r="AJ19" s="1276"/>
      <c r="AK19" s="1277"/>
      <c r="AL19" s="2275"/>
      <c r="AM19" s="2276" t="s">
        <v>61</v>
      </c>
      <c r="AN19" s="2275"/>
      <c r="AO19" s="2276" t="s">
        <v>61</v>
      </c>
    </row>
    <row r="20" spans="1:48" ht="14.25" hidden="1" customHeight="1">
      <c r="AG20" s="1276"/>
      <c r="AH20" s="1276"/>
      <c r="AI20" s="1276"/>
      <c r="AJ20" s="1276"/>
      <c r="AK20" s="1277"/>
      <c r="AL20" s="2275"/>
      <c r="AM20" s="2276"/>
      <c r="AN20" s="2275"/>
      <c r="AO20" s="2276"/>
    </row>
    <row r="21" spans="1:48" ht="14.25" hidden="1" customHeight="1">
      <c r="AG21" s="1276"/>
      <c r="AH21" s="1276"/>
      <c r="AI21" s="1276"/>
      <c r="AJ21" s="1276"/>
      <c r="AK21" s="1277"/>
      <c r="AL21" s="2275"/>
      <c r="AM21" s="2276"/>
      <c r="AN21" s="2275"/>
      <c r="AO21" s="2276"/>
    </row>
    <row r="22" spans="1:48" ht="14.25" hidden="1" customHeight="1">
      <c r="AG22" s="1276"/>
      <c r="AH22" s="1276"/>
      <c r="AI22" s="1276"/>
      <c r="AJ22" s="1276"/>
      <c r="AK22" s="254" t="str">
        <f>AL19&amp;"-"&amp;AN19</f>
        <v>-</v>
      </c>
      <c r="AL22" s="2276"/>
      <c r="AM22" s="2276"/>
      <c r="AN22" s="2276"/>
      <c r="AO22" s="2276"/>
    </row>
    <row r="23" spans="1:48" ht="14.25" hidden="1" customHeight="1">
      <c r="AO23" s="253"/>
    </row>
    <row r="24" spans="1:48" s="1931" customFormat="1" ht="22.5" hidden="1" customHeight="1">
      <c r="A24" s="1055"/>
      <c r="B24" s="1055"/>
      <c r="C24" s="1055"/>
      <c r="D24" s="1055"/>
      <c r="E24" s="1055"/>
      <c r="F24" s="1055"/>
      <c r="G24" s="1055"/>
      <c r="H24" s="1055"/>
      <c r="I24" s="1055"/>
      <c r="J24" s="1055"/>
      <c r="K24" s="1055"/>
      <c r="L24" s="1055"/>
      <c r="M24" s="1244"/>
      <c r="N24" s="1245"/>
      <c r="O24" s="1245"/>
      <c r="P24" s="1262" t="s">
        <v>406</v>
      </c>
      <c r="Q24" s="1278"/>
      <c r="R24" s="1287"/>
      <c r="S24" s="1287"/>
      <c r="T24" s="1287"/>
      <c r="U24" s="648"/>
      <c r="AC24" s="1283"/>
      <c r="AE24" s="1283"/>
      <c r="AF24" s="1282"/>
      <c r="AL24" s="1283"/>
      <c r="AN24" s="1283"/>
      <c r="AO24" s="1282"/>
      <c r="AR24" s="437"/>
      <c r="AS24" s="437"/>
      <c r="AT24" s="437"/>
      <c r="AU24" s="437"/>
      <c r="AV24" s="437"/>
    </row>
    <row r="25" spans="1:48" s="1931" customFormat="1" ht="14.25" hidden="1" customHeight="1">
      <c r="A25" s="1055"/>
      <c r="B25" s="1055"/>
      <c r="C25" s="1055"/>
      <c r="D25" s="1055"/>
      <c r="E25" s="1055"/>
      <c r="F25" s="1055"/>
      <c r="G25" s="1055"/>
      <c r="H25" s="1055"/>
      <c r="I25" s="1055"/>
      <c r="J25" s="1055"/>
      <c r="K25" s="1055"/>
      <c r="L25" s="1055"/>
      <c r="M25" s="1244"/>
      <c r="N25" s="1245"/>
      <c r="O25" s="1245"/>
      <c r="P25" s="1245"/>
      <c r="Q25" s="1278"/>
      <c r="R25" s="1287"/>
      <c r="S25" s="1287"/>
      <c r="T25" s="1287"/>
      <c r="U25" s="648"/>
      <c r="AF25" s="1282"/>
      <c r="AO25" s="1282"/>
      <c r="AR25" s="437"/>
      <c r="AS25" s="437"/>
      <c r="AT25" s="437"/>
      <c r="AU25" s="437"/>
      <c r="AV25" s="437"/>
    </row>
    <row r="26" spans="1:48" s="1931" customFormat="1" ht="14.25" hidden="1" customHeight="1">
      <c r="A26" s="1055"/>
      <c r="B26" s="1055"/>
      <c r="C26" s="1055"/>
      <c r="D26" s="1055"/>
      <c r="E26" s="1055"/>
      <c r="F26" s="1055"/>
      <c r="G26" s="1055"/>
      <c r="H26" s="1055"/>
      <c r="I26" s="1055"/>
      <c r="J26" s="1055"/>
      <c r="K26" s="1055"/>
      <c r="L26" s="1055"/>
      <c r="M26" s="1244"/>
      <c r="N26" s="1245"/>
      <c r="O26" s="1245"/>
      <c r="P26" s="1228" t="s">
        <v>407</v>
      </c>
      <c r="Q26" s="1278"/>
      <c r="R26" s="1287"/>
      <c r="S26" s="1287"/>
      <c r="T26" s="1287"/>
      <c r="U26" s="648"/>
      <c r="V26" s="1060" t="s">
        <v>408</v>
      </c>
      <c r="AD26" s="107" t="s">
        <v>409</v>
      </c>
      <c r="AF26" s="107" t="s">
        <v>410</v>
      </c>
      <c r="AG26" s="1060" t="s">
        <v>408</v>
      </c>
      <c r="AM26" s="107" t="s">
        <v>411</v>
      </c>
      <c r="AO26" s="107" t="s">
        <v>410</v>
      </c>
      <c r="AR26" s="437"/>
      <c r="AS26" s="437"/>
      <c r="AT26" s="437"/>
      <c r="AU26" s="437"/>
      <c r="AV26" s="437"/>
    </row>
    <row r="27" spans="1:48" ht="14.25" hidden="1" customHeight="1">
      <c r="P27" s="1228"/>
    </row>
    <row r="28" spans="1:48" ht="14.25" hidden="1" customHeight="1">
      <c r="P28" s="1228"/>
    </row>
    <row r="29" spans="1:48" ht="14.25" customHeight="1">
      <c r="R29" s="305"/>
      <c r="S29" s="305"/>
      <c r="T29" s="305"/>
      <c r="U29" s="1195"/>
      <c r="V29" s="290"/>
      <c r="W29" s="290"/>
      <c r="X29" s="435"/>
      <c r="Y29" s="435"/>
      <c r="Z29" s="435"/>
      <c r="AA29" s="435"/>
      <c r="AB29" s="435"/>
      <c r="AC29" s="435"/>
      <c r="AD29" s="435"/>
      <c r="AE29" s="435"/>
      <c r="AF29" s="435"/>
      <c r="AG29" s="435"/>
      <c r="AH29" s="435"/>
      <c r="AI29" s="435"/>
      <c r="AJ29" s="435"/>
      <c r="AK29" s="435"/>
      <c r="AL29" s="435"/>
      <c r="AM29" s="435"/>
      <c r="AN29" s="435"/>
      <c r="AO29" s="435"/>
    </row>
    <row r="30" spans="1:48" ht="54" customHeight="1">
      <c r="R30" s="305"/>
      <c r="S30" s="305"/>
      <c r="T30" s="305"/>
      <c r="U30" s="2254"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4"/>
      <c r="W30" s="2254"/>
      <c r="X30" s="2254"/>
      <c r="Y30" s="2254"/>
      <c r="Z30" s="2254"/>
      <c r="AA30" s="2254"/>
      <c r="AB30" s="2254"/>
      <c r="AC30" s="2254"/>
      <c r="AD30" s="2254"/>
      <c r="AE30" s="2254"/>
      <c r="AF30" s="2254"/>
      <c r="AG30" s="2254"/>
      <c r="AH30" s="2254"/>
      <c r="AI30" s="2254"/>
      <c r="AJ30" s="2254"/>
      <c r="AK30" s="2254"/>
      <c r="AL30" s="2254"/>
      <c r="AM30" s="2254"/>
      <c r="AN30" s="2254"/>
      <c r="AO30" s="1152"/>
    </row>
    <row r="31" spans="1:48" ht="14.25" customHeight="1">
      <c r="R31" s="305"/>
      <c r="S31" s="305"/>
      <c r="T31" s="305"/>
      <c r="U31" s="2200" t="str">
        <f>IF(org=0,"Не определено",org)</f>
        <v>ПАО "Юнипро"</v>
      </c>
      <c r="V31" s="2200"/>
      <c r="W31" s="2200"/>
      <c r="X31" s="2200"/>
      <c r="Y31" s="2200"/>
      <c r="Z31" s="2200"/>
      <c r="AA31" s="2200"/>
      <c r="AB31" s="2200"/>
      <c r="AC31" s="2200"/>
      <c r="AD31" s="2200"/>
      <c r="AE31" s="2200"/>
      <c r="AF31" s="2200"/>
      <c r="AG31" s="2200"/>
      <c r="AH31" s="2200"/>
      <c r="AI31" s="2200"/>
      <c r="AJ31" s="2200"/>
      <c r="AK31" s="2200"/>
      <c r="AL31" s="2200"/>
      <c r="AM31" s="2200"/>
      <c r="AN31" s="2200"/>
      <c r="AO31" s="1152"/>
    </row>
    <row r="32" spans="1:48" ht="14.25" customHeight="1">
      <c r="R32" s="305"/>
      <c r="S32" s="305"/>
      <c r="T32" s="305"/>
      <c r="U32" s="1195"/>
      <c r="V32" s="290"/>
      <c r="W32" s="290"/>
      <c r="X32" s="246"/>
      <c r="Y32" s="246"/>
      <c r="Z32" s="246"/>
      <c r="AA32" s="246"/>
      <c r="AB32" s="246"/>
      <c r="AC32" s="246"/>
      <c r="AD32" s="246"/>
      <c r="AE32" s="246"/>
      <c r="AF32" s="246"/>
      <c r="AG32" s="246"/>
      <c r="AH32" s="246"/>
      <c r="AI32" s="246"/>
      <c r="AJ32" s="246"/>
      <c r="AK32" s="246"/>
      <c r="AL32" s="246"/>
      <c r="AM32" s="246"/>
      <c r="AN32" s="246"/>
      <c r="AO32" s="246"/>
      <c r="AP32" s="435"/>
    </row>
    <row r="33" spans="1:48" s="1936" customFormat="1" ht="25.5" customHeight="1">
      <c r="A33" s="1158"/>
      <c r="B33" s="1158"/>
      <c r="C33" s="1158"/>
      <c r="D33" s="1158"/>
      <c r="E33" s="1158"/>
      <c r="F33" s="1158"/>
      <c r="G33" s="1158"/>
      <c r="H33" s="1158"/>
      <c r="I33" s="1158"/>
      <c r="J33" s="1158"/>
      <c r="K33" s="1158"/>
      <c r="L33" s="1158"/>
      <c r="M33" s="1296"/>
      <c r="N33" s="1158"/>
      <c r="O33" s="1158"/>
      <c r="P33" s="1158"/>
      <c r="U33" s="2262" t="s">
        <v>38</v>
      </c>
      <c r="V33" s="2262"/>
      <c r="W33" s="1288"/>
      <c r="X33" s="2263" t="str">
        <f>IF(TITLE_NAME_OR_PR_CHANGE="",IF(TITLE_NAME_OR_PR="","",TITLE_NAME_OR_PR),TITLE_NAME_OR_PR_CHANGE)</f>
        <v>Министерство тарифной политики Красноярского края</v>
      </c>
      <c r="Y33" s="2263"/>
      <c r="Z33" s="2263"/>
      <c r="AA33" s="2263"/>
      <c r="AB33" s="2263"/>
      <c r="AC33" s="2263"/>
      <c r="AD33" s="2263"/>
      <c r="AE33" s="2263"/>
      <c r="AF33" s="252"/>
      <c r="AG33" s="2263" t="str">
        <f>IF(TITLE_NAME_OR_PR_CHANGE="",IF(TITLE_NAME_OR_PR="","",TITLE_NAME_OR_PR),TITLE_NAME_OR_PR_CHANGE)</f>
        <v>Министерство тарифной политики Красноярского края</v>
      </c>
      <c r="AH33" s="2263"/>
      <c r="AI33" s="2263"/>
      <c r="AJ33" s="2263"/>
      <c r="AK33" s="2263"/>
      <c r="AL33" s="2263"/>
      <c r="AM33" s="2263"/>
      <c r="AN33" s="2263"/>
      <c r="AO33" s="252"/>
      <c r="AP33" s="252"/>
      <c r="AQ33" s="199"/>
      <c r="AR33" s="296"/>
      <c r="AS33" s="296"/>
      <c r="AT33" s="296"/>
      <c r="AU33" s="296"/>
      <c r="AV33" s="296"/>
    </row>
    <row r="34" spans="1:48" s="1936" customFormat="1" ht="18.75" customHeight="1">
      <c r="A34" s="1158"/>
      <c r="B34" s="1158"/>
      <c r="C34" s="1158"/>
      <c r="D34" s="1158"/>
      <c r="E34" s="1158"/>
      <c r="F34" s="1158"/>
      <c r="G34" s="1158"/>
      <c r="H34" s="1158"/>
      <c r="I34" s="1158"/>
      <c r="J34" s="1158"/>
      <c r="K34" s="1158"/>
      <c r="L34" s="1158"/>
      <c r="M34" s="1296"/>
      <c r="N34" s="1158"/>
      <c r="O34" s="1158"/>
      <c r="P34" s="1158"/>
      <c r="U34" s="2262" t="s">
        <v>412</v>
      </c>
      <c r="V34" s="2262"/>
      <c r="W34" s="1288"/>
      <c r="X34" s="2272">
        <f>IF(TITLE_DATE_PR_CHANGE="",IF(TITLE_DATE_PR="","",TITLE_DATE_PR),TITLE_DATE_PR_CHANGE)</f>
        <v>45278.357847222222</v>
      </c>
      <c r="Y34" s="2272"/>
      <c r="Z34" s="2272"/>
      <c r="AA34" s="2272"/>
      <c r="AB34" s="2272"/>
      <c r="AC34" s="2272"/>
      <c r="AD34" s="2272"/>
      <c r="AE34" s="2272"/>
      <c r="AF34" s="252"/>
      <c r="AG34" s="2272">
        <f>IF(TITLE_DATE_PR_CHANGE="",IF(TITLE_DATE_PR="","",TITLE_DATE_PR),TITLE_DATE_PR_CHANGE)</f>
        <v>45278.357847222222</v>
      </c>
      <c r="AH34" s="2272"/>
      <c r="AI34" s="2272"/>
      <c r="AJ34" s="2272"/>
      <c r="AK34" s="2272"/>
      <c r="AL34" s="2272"/>
      <c r="AM34" s="2272"/>
      <c r="AN34" s="2272"/>
      <c r="AO34" s="252"/>
      <c r="AP34" s="252"/>
      <c r="AQ34" s="199"/>
      <c r="AR34" s="296"/>
      <c r="AS34" s="296"/>
      <c r="AT34" s="296"/>
      <c r="AU34" s="296"/>
      <c r="AV34" s="296"/>
    </row>
    <row r="35" spans="1:48" s="1936" customFormat="1" ht="18.75" customHeight="1">
      <c r="A35" s="1158"/>
      <c r="B35" s="1158"/>
      <c r="C35" s="1158"/>
      <c r="D35" s="1158"/>
      <c r="E35" s="1158"/>
      <c r="F35" s="1158"/>
      <c r="G35" s="1158"/>
      <c r="H35" s="1158"/>
      <c r="I35" s="1158"/>
      <c r="J35" s="1158"/>
      <c r="K35" s="1158"/>
      <c r="L35" s="1158"/>
      <c r="M35" s="1296"/>
      <c r="N35" s="1158"/>
      <c r="O35" s="1158"/>
      <c r="P35" s="1158"/>
      <c r="U35" s="2262" t="s">
        <v>413</v>
      </c>
      <c r="V35" s="2262"/>
      <c r="W35" s="1288"/>
      <c r="X35" s="2263" t="str">
        <f>IF(TITLE_NUMBER_PR_CHANGE="",IF(TITLE_NUMBER_PR="","",TITLE_NUMBER_PR),TITLE_NUMBER_PR_CHANGE)</f>
        <v>924-в</v>
      </c>
      <c r="Y35" s="2263"/>
      <c r="Z35" s="2263"/>
      <c r="AA35" s="2263"/>
      <c r="AB35" s="2263"/>
      <c r="AC35" s="2263"/>
      <c r="AD35" s="2263"/>
      <c r="AE35" s="2263"/>
      <c r="AF35" s="252"/>
      <c r="AG35" s="2263" t="str">
        <f>IF(TITLE_NUMBER_PR_CHANGE="",IF(TITLE_NUMBER_PR="","",TITLE_NUMBER_PR),TITLE_NUMBER_PR_CHANGE)</f>
        <v>924-в</v>
      </c>
      <c r="AH35" s="2263"/>
      <c r="AI35" s="2263"/>
      <c r="AJ35" s="2263"/>
      <c r="AK35" s="2263"/>
      <c r="AL35" s="2263"/>
      <c r="AM35" s="2263"/>
      <c r="AN35" s="2263"/>
      <c r="AO35" s="252"/>
      <c r="AP35" s="252"/>
      <c r="AQ35" s="199"/>
      <c r="AR35" s="296"/>
      <c r="AS35" s="296"/>
      <c r="AT35" s="296"/>
      <c r="AU35" s="296"/>
      <c r="AV35" s="296"/>
    </row>
    <row r="36" spans="1:48" s="1936" customFormat="1" ht="18.75" customHeight="1">
      <c r="A36" s="1158"/>
      <c r="B36" s="1158"/>
      <c r="C36" s="1158"/>
      <c r="D36" s="1158"/>
      <c r="E36" s="1158"/>
      <c r="F36" s="1158"/>
      <c r="G36" s="1158"/>
      <c r="H36" s="1158"/>
      <c r="I36" s="1158"/>
      <c r="J36" s="1158"/>
      <c r="K36" s="1158"/>
      <c r="L36" s="1158"/>
      <c r="M36" s="1296"/>
      <c r="N36" s="1158"/>
      <c r="O36" s="1158"/>
      <c r="P36" s="1158"/>
      <c r="U36" s="2262" t="s">
        <v>40</v>
      </c>
      <c r="V36" s="2262"/>
      <c r="W36" s="1288"/>
      <c r="X36" s="2263" t="str">
        <f>IF(TITLE_IST_PUB_CHANGE="",IF(TITLE_IST_PUB="","",TITLE_IST_PUB),TITLE_IST_PUB_CHANGE)</f>
        <v>Официальный интернет-портал правовой информации Красноярского края (http://www.zakon.krskstate.ru/)</v>
      </c>
      <c r="Y36" s="2263"/>
      <c r="Z36" s="2263"/>
      <c r="AA36" s="2263"/>
      <c r="AB36" s="2263"/>
      <c r="AC36" s="2263"/>
      <c r="AD36" s="2263"/>
      <c r="AE36" s="2263"/>
      <c r="AF36" s="252"/>
      <c r="AG36" s="2263" t="str">
        <f>IF(TITLE_IST_PUB_CHANGE="",IF(TITLE_IST_PUB="","",TITLE_IST_PUB),TITLE_IST_PUB_CHANGE)</f>
        <v>Официальный интернет-портал правовой информации Красноярского края (http://www.zakon.krskstate.ru/)</v>
      </c>
      <c r="AH36" s="2263"/>
      <c r="AI36" s="2263"/>
      <c r="AJ36" s="2263"/>
      <c r="AK36" s="2263"/>
      <c r="AL36" s="2263"/>
      <c r="AM36" s="2263"/>
      <c r="AN36" s="2263"/>
      <c r="AO36" s="252"/>
      <c r="AP36" s="252"/>
      <c r="AQ36" s="199"/>
      <c r="AR36" s="296"/>
      <c r="AS36" s="296"/>
      <c r="AT36" s="296"/>
      <c r="AU36" s="296"/>
      <c r="AV36" s="296"/>
    </row>
    <row r="37" spans="1:48" ht="14.25" hidden="1" customHeight="1">
      <c r="R37" s="305"/>
      <c r="S37" s="305"/>
      <c r="T37" s="305"/>
      <c r="U37" s="1195"/>
      <c r="V37" s="290"/>
      <c r="W37" s="290"/>
      <c r="X37" s="246"/>
      <c r="Y37" s="246"/>
      <c r="Z37" s="246"/>
      <c r="AA37" s="246"/>
      <c r="AB37" s="246"/>
      <c r="AC37" s="246"/>
      <c r="AD37" s="246"/>
      <c r="AE37" s="246"/>
      <c r="AF37" s="246"/>
      <c r="AG37" s="246"/>
      <c r="AH37" s="246"/>
      <c r="AI37" s="246"/>
      <c r="AJ37" s="246"/>
      <c r="AK37" s="246"/>
      <c r="AL37" s="246"/>
      <c r="AM37" s="246"/>
      <c r="AN37" s="246"/>
      <c r="AO37" s="246"/>
      <c r="AP37" s="435"/>
    </row>
    <row r="38" spans="1:48" s="1936" customFormat="1" ht="18.75" hidden="1" customHeight="1">
      <c r="A38" s="1158"/>
      <c r="B38" s="1158"/>
      <c r="C38" s="1158"/>
      <c r="D38" s="1158"/>
      <c r="E38" s="1158"/>
      <c r="F38" s="1158"/>
      <c r="G38" s="1158"/>
      <c r="H38" s="1158"/>
      <c r="I38" s="1158"/>
      <c r="J38" s="1158"/>
      <c r="K38" s="1158"/>
      <c r="L38" s="1158"/>
      <c r="M38" s="1296"/>
      <c r="N38" s="1158"/>
      <c r="O38" s="1158"/>
      <c r="P38" s="1158"/>
      <c r="U38" s="2262" t="s">
        <v>414</v>
      </c>
      <c r="V38" s="2262"/>
      <c r="W38" s="1288"/>
      <c r="X38" s="2272">
        <f>IF(TITLE_DATE_PR_CHANGE="",IF(TITLE_DATE_PR="","",TITLE_DATE_PR),TITLE_DATE_PR_CHANGE)</f>
        <v>45278.357847222222</v>
      </c>
      <c r="Y38" s="2272"/>
      <c r="Z38" s="2272"/>
      <c r="AA38" s="2272"/>
      <c r="AB38" s="2272"/>
      <c r="AC38" s="2272"/>
      <c r="AD38" s="2272"/>
      <c r="AE38" s="2272"/>
      <c r="AF38" s="252"/>
      <c r="AG38" s="2272">
        <f>IF(TITLE_DATE_PR_CHANGE="",IF(TITLE_DATE_PR="","",TITLE_DATE_PR),TITLE_DATE_PR_CHANGE)</f>
        <v>45278.357847222222</v>
      </c>
      <c r="AH38" s="2272"/>
      <c r="AI38" s="2272"/>
      <c r="AJ38" s="2272"/>
      <c r="AK38" s="2272"/>
      <c r="AL38" s="2272"/>
      <c r="AM38" s="2272"/>
      <c r="AN38" s="2272"/>
      <c r="AO38" s="252"/>
      <c r="AP38" s="252"/>
      <c r="AQ38" s="199"/>
      <c r="AR38" s="296"/>
      <c r="AS38" s="296"/>
      <c r="AT38" s="296"/>
      <c r="AU38" s="296"/>
      <c r="AV38" s="296"/>
    </row>
    <row r="39" spans="1:48" s="1936" customFormat="1" ht="18.75" hidden="1" customHeight="1">
      <c r="A39" s="1158"/>
      <c r="B39" s="1158"/>
      <c r="C39" s="1158"/>
      <c r="D39" s="1158"/>
      <c r="E39" s="1158"/>
      <c r="F39" s="1158"/>
      <c r="G39" s="1158"/>
      <c r="H39" s="1158"/>
      <c r="I39" s="1158"/>
      <c r="J39" s="1158"/>
      <c r="K39" s="1158"/>
      <c r="L39" s="1158"/>
      <c r="M39" s="1296"/>
      <c r="N39" s="1158"/>
      <c r="O39" s="1158"/>
      <c r="P39" s="1158"/>
      <c r="U39" s="2262" t="s">
        <v>415</v>
      </c>
      <c r="V39" s="2262"/>
      <c r="W39" s="1288"/>
      <c r="X39" s="2263" t="str">
        <f>IF(TITLE_NUMBER_PR_CHANGE="",IF(TITLE_NUMBER_PR="","",TITLE_NUMBER_PR),TITLE_NUMBER_PR_CHANGE)</f>
        <v>924-в</v>
      </c>
      <c r="Y39" s="2263"/>
      <c r="Z39" s="2263"/>
      <c r="AA39" s="2263"/>
      <c r="AB39" s="2263"/>
      <c r="AC39" s="2263"/>
      <c r="AD39" s="2263"/>
      <c r="AE39" s="2263"/>
      <c r="AF39" s="252"/>
      <c r="AG39" s="2263" t="str">
        <f>IF(TITLE_NUMBER_PR_CHANGE="",IF(TITLE_NUMBER_PR="","",TITLE_NUMBER_PR),TITLE_NUMBER_PR_CHANGE)</f>
        <v>924-в</v>
      </c>
      <c r="AH39" s="2263"/>
      <c r="AI39" s="2263"/>
      <c r="AJ39" s="2263"/>
      <c r="AK39" s="2263"/>
      <c r="AL39" s="2263"/>
      <c r="AM39" s="2263"/>
      <c r="AN39" s="2263"/>
      <c r="AO39" s="252"/>
      <c r="AP39" s="252"/>
      <c r="AQ39" s="199"/>
      <c r="AR39" s="296"/>
      <c r="AS39" s="296"/>
      <c r="AT39" s="296"/>
      <c r="AU39" s="296"/>
      <c r="AV39" s="296"/>
    </row>
    <row r="40" spans="1:48" s="1936" customFormat="1" ht="0" hidden="1" customHeight="1">
      <c r="A40" s="1158"/>
      <c r="B40" s="1158"/>
      <c r="C40" s="1158"/>
      <c r="D40" s="1158"/>
      <c r="E40" s="1158"/>
      <c r="F40" s="1158"/>
      <c r="G40" s="1158"/>
      <c r="H40" s="1158"/>
      <c r="I40" s="1158"/>
      <c r="J40" s="1158"/>
      <c r="K40" s="1158"/>
      <c r="L40" s="1158"/>
      <c r="M40" s="1296"/>
      <c r="N40" s="1158"/>
      <c r="O40" s="1158"/>
      <c r="P40" s="1158"/>
      <c r="U40" s="248"/>
      <c r="V40" s="248"/>
      <c r="W40" s="1257"/>
      <c r="X40" s="252"/>
      <c r="Y40" s="252"/>
      <c r="Z40" s="252"/>
      <c r="AA40" s="252"/>
      <c r="AB40" s="252"/>
      <c r="AC40" s="252"/>
      <c r="AD40" s="252"/>
      <c r="AE40" s="252"/>
      <c r="AF40" s="197" t="s">
        <v>416</v>
      </c>
      <c r="AG40" s="252"/>
      <c r="AH40" s="252"/>
      <c r="AI40" s="252"/>
      <c r="AJ40" s="252"/>
      <c r="AK40" s="252"/>
      <c r="AL40" s="252"/>
      <c r="AM40" s="252"/>
      <c r="AN40" s="252"/>
      <c r="AO40" s="197" t="s">
        <v>416</v>
      </c>
      <c r="AR40" s="296"/>
      <c r="AS40" s="296"/>
      <c r="AT40" s="296"/>
      <c r="AU40" s="296"/>
      <c r="AV40" s="296"/>
    </row>
    <row r="41" spans="1:48" ht="14.25" customHeight="1">
      <c r="R41" s="305"/>
      <c r="S41" s="305"/>
      <c r="T41" s="305"/>
      <c r="U41" s="1195"/>
      <c r="V41" s="290"/>
      <c r="W41" s="1153"/>
      <c r="X41" s="2264"/>
      <c r="Y41" s="2264"/>
      <c r="Z41" s="2264"/>
      <c r="AA41" s="2264"/>
      <c r="AB41" s="2264"/>
      <c r="AC41" s="2264"/>
      <c r="AD41" s="2264"/>
      <c r="AE41" s="2264"/>
      <c r="AF41" s="2264"/>
      <c r="AG41" s="2264"/>
      <c r="AH41" s="2264"/>
      <c r="AI41" s="2264"/>
      <c r="AJ41" s="2264"/>
      <c r="AK41" s="2264"/>
      <c r="AL41" s="2264"/>
      <c r="AM41" s="2264"/>
      <c r="AN41" s="2264"/>
      <c r="AO41" s="2264"/>
    </row>
    <row r="42" spans="1:48" ht="14.25" customHeight="1">
      <c r="R42" s="305"/>
      <c r="S42" s="305"/>
      <c r="T42" s="305"/>
      <c r="U42" s="2143" t="s">
        <v>289</v>
      </c>
      <c r="V42" s="2143"/>
      <c r="W42" s="2143"/>
      <c r="X42" s="2143"/>
      <c r="Y42" s="2143"/>
      <c r="Z42" s="2143"/>
      <c r="AA42" s="2143"/>
      <c r="AB42" s="2143"/>
      <c r="AC42" s="2143"/>
      <c r="AD42" s="2143"/>
      <c r="AE42" s="2143"/>
      <c r="AF42" s="2143"/>
      <c r="AG42" s="2143"/>
      <c r="AH42" s="2143"/>
      <c r="AI42" s="2143"/>
      <c r="AJ42" s="2143"/>
      <c r="AK42" s="2143"/>
      <c r="AL42" s="2143"/>
      <c r="AM42" s="2143"/>
      <c r="AN42" s="2143"/>
      <c r="AO42" s="2143"/>
      <c r="AP42" s="2143"/>
      <c r="AQ42" s="2143" t="s">
        <v>290</v>
      </c>
    </row>
    <row r="43" spans="1:48" ht="14.25" customHeight="1">
      <c r="R43" s="305"/>
      <c r="S43" s="305"/>
      <c r="T43" s="305"/>
      <c r="U43" s="2278" t="s">
        <v>87</v>
      </c>
      <c r="V43" s="2229" t="s">
        <v>417</v>
      </c>
      <c r="W43" s="219"/>
      <c r="X43" s="2279" t="s">
        <v>418</v>
      </c>
      <c r="Y43" s="2294"/>
      <c r="Z43" s="2294"/>
      <c r="AA43" s="2294"/>
      <c r="AB43" s="2294"/>
      <c r="AC43" s="2280"/>
      <c r="AD43" s="2280"/>
      <c r="AE43" s="2281"/>
      <c r="AF43" s="2282" t="s">
        <v>419</v>
      </c>
      <c r="AG43" s="2279" t="s">
        <v>418</v>
      </c>
      <c r="AH43" s="2294"/>
      <c r="AI43" s="2294"/>
      <c r="AJ43" s="2294"/>
      <c r="AK43" s="2294"/>
      <c r="AL43" s="2280"/>
      <c r="AM43" s="2280"/>
      <c r="AN43" s="2281"/>
      <c r="AO43" s="2282" t="s">
        <v>420</v>
      </c>
      <c r="AP43" s="2285" t="s">
        <v>421</v>
      </c>
      <c r="AQ43" s="2143"/>
    </row>
    <row r="44" spans="1:48" ht="33.75" customHeight="1">
      <c r="R44" s="305"/>
      <c r="S44" s="305"/>
      <c r="T44" s="305"/>
      <c r="U44" s="2278"/>
      <c r="V44" s="2229"/>
      <c r="W44" s="938"/>
      <c r="X44" s="2214" t="s">
        <v>442</v>
      </c>
      <c r="Y44" s="2143" t="s">
        <v>443</v>
      </c>
      <c r="Z44" s="2143"/>
      <c r="AA44" s="2143"/>
      <c r="AB44" s="2143"/>
      <c r="AC44" s="2214" t="s">
        <v>425</v>
      </c>
      <c r="AD44" s="2303"/>
      <c r="AE44" s="2215"/>
      <c r="AF44" s="2283"/>
      <c r="AG44" s="2214" t="s">
        <v>442</v>
      </c>
      <c r="AH44" s="2143" t="s">
        <v>443</v>
      </c>
      <c r="AI44" s="2143"/>
      <c r="AJ44" s="2143"/>
      <c r="AK44" s="2143"/>
      <c r="AL44" s="2214" t="s">
        <v>425</v>
      </c>
      <c r="AM44" s="2303"/>
      <c r="AN44" s="2215"/>
      <c r="AO44" s="2283"/>
      <c r="AP44" s="2286"/>
      <c r="AQ44" s="2143"/>
    </row>
    <row r="45" spans="1:48" ht="14.25" customHeight="1">
      <c r="R45" s="305"/>
      <c r="S45" s="305"/>
      <c r="T45" s="305"/>
      <c r="U45" s="2278"/>
      <c r="V45" s="2229"/>
      <c r="W45" s="938"/>
      <c r="X45" s="2216"/>
      <c r="Y45" s="2243" t="s">
        <v>444</v>
      </c>
      <c r="Z45" s="2238" t="s">
        <v>445</v>
      </c>
      <c r="AA45" s="2239"/>
      <c r="AB45" s="2240"/>
      <c r="AC45" s="2219"/>
      <c r="AD45" s="2304"/>
      <c r="AE45" s="2220"/>
      <c r="AF45" s="2283"/>
      <c r="AG45" s="2216"/>
      <c r="AH45" s="2243" t="s">
        <v>444</v>
      </c>
      <c r="AI45" s="2238" t="s">
        <v>445</v>
      </c>
      <c r="AJ45" s="2239"/>
      <c r="AK45" s="2240"/>
      <c r="AL45" s="2219"/>
      <c r="AM45" s="2304"/>
      <c r="AN45" s="2220"/>
      <c r="AO45" s="2283"/>
      <c r="AP45" s="2286"/>
      <c r="AQ45" s="2143"/>
    </row>
    <row r="46" spans="1:48" ht="25.5" customHeight="1">
      <c r="R46" s="305"/>
      <c r="S46" s="305"/>
      <c r="T46" s="305"/>
      <c r="U46" s="2278"/>
      <c r="V46" s="2229"/>
      <c r="W46" s="938"/>
      <c r="X46" s="2216"/>
      <c r="Y46" s="2305"/>
      <c r="Z46" s="2243" t="s">
        <v>446</v>
      </c>
      <c r="AA46" s="2238" t="s">
        <v>447</v>
      </c>
      <c r="AB46" s="2240"/>
      <c r="AC46" s="2243" t="s">
        <v>435</v>
      </c>
      <c r="AD46" s="2245" t="s">
        <v>436</v>
      </c>
      <c r="AE46" s="2247"/>
      <c r="AF46" s="2283"/>
      <c r="AG46" s="2216"/>
      <c r="AH46" s="2305"/>
      <c r="AI46" s="2243" t="s">
        <v>446</v>
      </c>
      <c r="AJ46" s="2238" t="s">
        <v>447</v>
      </c>
      <c r="AK46" s="2240"/>
      <c r="AL46" s="2243" t="s">
        <v>435</v>
      </c>
      <c r="AM46" s="2245" t="s">
        <v>436</v>
      </c>
      <c r="AN46" s="2247"/>
      <c r="AO46" s="2283"/>
      <c r="AP46" s="2286"/>
      <c r="AQ46" s="2143"/>
    </row>
    <row r="47" spans="1:48" ht="62.25" customHeight="1">
      <c r="A47" s="1179"/>
      <c r="B47" s="1179" t="s">
        <v>134</v>
      </c>
      <c r="C47" s="1179" t="s">
        <v>135</v>
      </c>
      <c r="D47" s="1179" t="s">
        <v>136</v>
      </c>
      <c r="E47" s="1228" t="s">
        <v>426</v>
      </c>
      <c r="F47" s="1228" t="s">
        <v>427</v>
      </c>
      <c r="G47" s="1228" t="s">
        <v>428</v>
      </c>
      <c r="H47" s="1228" t="s">
        <v>429</v>
      </c>
      <c r="I47" s="1228" t="s">
        <v>430</v>
      </c>
      <c r="J47" s="1228" t="s">
        <v>431</v>
      </c>
      <c r="K47" s="1228" t="s">
        <v>432</v>
      </c>
      <c r="L47" s="1228" t="s">
        <v>448</v>
      </c>
      <c r="M47" s="1228" t="s">
        <v>407</v>
      </c>
      <c r="R47" s="305"/>
      <c r="S47" s="305"/>
      <c r="T47" s="305"/>
      <c r="U47" s="2278"/>
      <c r="V47" s="2229"/>
      <c r="W47" s="220"/>
      <c r="X47" s="2219"/>
      <c r="Y47" s="2244"/>
      <c r="Z47" s="2244"/>
      <c r="AA47" s="1128" t="s">
        <v>449</v>
      </c>
      <c r="AB47" s="1128" t="s">
        <v>450</v>
      </c>
      <c r="AC47" s="2244"/>
      <c r="AD47" s="2246"/>
      <c r="AE47" s="2248"/>
      <c r="AF47" s="2284"/>
      <c r="AG47" s="2219"/>
      <c r="AH47" s="2244"/>
      <c r="AI47" s="2244"/>
      <c r="AJ47" s="1128" t="s">
        <v>449</v>
      </c>
      <c r="AK47" s="1128" t="s">
        <v>450</v>
      </c>
      <c r="AL47" s="2244"/>
      <c r="AM47" s="2246"/>
      <c r="AN47" s="2248"/>
      <c r="AO47" s="2284"/>
      <c r="AP47" s="2287"/>
      <c r="AQ47" s="2143"/>
    </row>
    <row r="48" spans="1:48" s="1819" customFormat="1" ht="11.25" hidden="1" customHeight="1">
      <c r="A48" s="1179"/>
      <c r="B48" s="1179"/>
      <c r="C48" s="1179"/>
      <c r="D48" s="1179"/>
      <c r="E48" s="1179"/>
      <c r="F48" s="1179"/>
      <c r="G48" s="1179"/>
      <c r="H48" s="1179"/>
      <c r="I48" s="1179"/>
      <c r="J48" s="1179"/>
      <c r="K48" s="1179"/>
      <c r="L48" s="1179"/>
      <c r="M48" s="1228"/>
      <c r="N48" s="1245"/>
      <c r="O48" s="1245"/>
      <c r="P48" s="1245"/>
      <c r="Q48" s="1155"/>
      <c r="R48" s="1156"/>
      <c r="S48" s="1171">
        <v>1</v>
      </c>
      <c r="T48" s="1171"/>
      <c r="U48" s="1197" t="s">
        <v>108</v>
      </c>
      <c r="V48" s="1172" t="s">
        <v>109</v>
      </c>
      <c r="W48" s="1154" t="str">
        <f ca="1">OFFSET(W48,0,-1)</f>
        <v>2</v>
      </c>
      <c r="X48" s="1252">
        <f ca="1">OFFSET(X48,0,-1)+1</f>
        <v>3</v>
      </c>
      <c r="Y48" s="1258"/>
      <c r="Z48" s="1258"/>
      <c r="AA48" s="1258">
        <f ca="1">OFFSET(AA48,0,-1)+1</f>
        <v>1</v>
      </c>
      <c r="AB48" s="1258">
        <f ca="1">OFFSET(AB48,0,-1)+1</f>
        <v>2</v>
      </c>
      <c r="AC48" s="1252">
        <f ca="1">OFFSET(AC48,0,-1)+1</f>
        <v>3</v>
      </c>
      <c r="AD48" s="2277">
        <f ca="1">OFFSET(AD48,0,-1)+1</f>
        <v>4</v>
      </c>
      <c r="AE48" s="2277"/>
      <c r="AF48" s="1252">
        <f ca="1">OFFSET(AF48,0,-2)+1</f>
        <v>5</v>
      </c>
      <c r="AG48" s="1252">
        <f ca="1">OFFSET(AG48,0,-1)+1</f>
        <v>6</v>
      </c>
      <c r="AH48" s="1252"/>
      <c r="AI48" s="1252"/>
      <c r="AJ48" s="1252">
        <f ca="1">OFFSET(AJ48,0,-1)+1</f>
        <v>1</v>
      </c>
      <c r="AK48" s="1252">
        <f ca="1">OFFSET(AK48,0,-1)+1</f>
        <v>2</v>
      </c>
      <c r="AL48" s="1252">
        <f ca="1">OFFSET(AL48,0,-1)+1</f>
        <v>3</v>
      </c>
      <c r="AM48" s="2277">
        <f ca="1">OFFSET(AM48,0,-1)+1</f>
        <v>4</v>
      </c>
      <c r="AN48" s="2277"/>
      <c r="AO48" s="1252">
        <f ca="1">OFFSET(AO48,0,-2)+1</f>
        <v>5</v>
      </c>
      <c r="AP48" s="1154">
        <f ca="1">OFFSET(AP48,0,-1)</f>
        <v>5</v>
      </c>
      <c r="AQ48" s="1252">
        <f ca="1">OFFSET(AQ48,0,-1)+1</f>
        <v>6</v>
      </c>
      <c r="AR48" s="437"/>
      <c r="AS48" s="437"/>
      <c r="AT48" s="437"/>
      <c r="AU48" s="437"/>
      <c r="AV48" s="437"/>
    </row>
    <row r="49" spans="1:48" ht="21" customHeight="1">
      <c r="A49" s="1186" t="s">
        <v>173</v>
      </c>
      <c r="B49" s="1186"/>
      <c r="C49" s="1186"/>
      <c r="D49" s="1186"/>
      <c r="E49" s="2300">
        <v>1</v>
      </c>
      <c r="F49" s="1186"/>
      <c r="G49" s="1186"/>
      <c r="H49" s="1186"/>
      <c r="I49" s="1186"/>
      <c r="J49" s="1186"/>
      <c r="K49" s="1186"/>
      <c r="L49" s="1186"/>
      <c r="M49" s="1228"/>
      <c r="N49" s="608"/>
      <c r="O49" s="608"/>
      <c r="P49" s="608"/>
      <c r="Q49" s="286"/>
      <c r="R49" s="285"/>
      <c r="S49" s="285"/>
      <c r="T49" s="280"/>
      <c r="U49" s="1253">
        <f>INDEX(PT_DIFFERENTIATION_NUM_NTAR,MATCH(A49,PT_DIFFERENTIATION_NTAR_ID,0))</f>
        <v>0</v>
      </c>
      <c r="V49" s="216" t="s">
        <v>122</v>
      </c>
      <c r="W49" s="218"/>
      <c r="X49" s="2256"/>
      <c r="Y49" s="2257"/>
      <c r="Z49" s="2257"/>
      <c r="AA49" s="2257"/>
      <c r="AB49" s="2257"/>
      <c r="AC49" s="2257"/>
      <c r="AD49" s="2257"/>
      <c r="AE49" s="2257"/>
      <c r="AF49" s="2258"/>
      <c r="AG49" s="2256" t="str">
        <f>INDEX(PT_DIFFERENTIATION_NTAR,MATCH(A49,PT_DIFFERENTIATION_NTAR_ID,0))</f>
        <v/>
      </c>
      <c r="AH49" s="2257"/>
      <c r="AI49" s="2257"/>
      <c r="AJ49" s="2257"/>
      <c r="AK49" s="2257"/>
      <c r="AL49" s="2257"/>
      <c r="AM49" s="2257"/>
      <c r="AN49" s="2257"/>
      <c r="AO49" s="2257"/>
      <c r="AP49" s="2258"/>
      <c r="AQ49"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26"/>
      <c r="AT49" s="426" t="str">
        <f t="shared" ref="AT49:AT65" si="2">IF(V49="","",V49)</f>
        <v>Наименование тарифа</v>
      </c>
      <c r="AU49" s="426"/>
      <c r="AV49" s="426"/>
    </row>
    <row r="50" spans="1:48" ht="21" customHeight="1">
      <c r="A50" s="1186" t="s">
        <v>173</v>
      </c>
      <c r="B50" s="1186" t="s">
        <v>174</v>
      </c>
      <c r="C50" s="1186"/>
      <c r="D50" s="1186"/>
      <c r="E50" s="2301"/>
      <c r="F50" s="2300">
        <v>1</v>
      </c>
      <c r="G50" s="1186"/>
      <c r="H50" s="1186"/>
      <c r="I50" s="1186"/>
      <c r="J50" s="1186"/>
      <c r="K50" s="1186"/>
      <c r="L50" s="1186"/>
      <c r="M50" s="1228"/>
      <c r="N50" s="608"/>
      <c r="O50" s="608"/>
      <c r="P50" s="608"/>
      <c r="Q50" s="1249"/>
      <c r="R50" s="277"/>
      <c r="S50" s="435"/>
      <c r="T50" s="278"/>
      <c r="U50" s="1253" t="str">
        <f>INDEX(PT_DIFFERENTIATION_NUM_TER,MATCH(B50,PT_DIFFERENTIATION_TER_ID,0))</f>
        <v>.</v>
      </c>
      <c r="V50" s="228" t="s">
        <v>388</v>
      </c>
      <c r="W50" s="218"/>
      <c r="X50" s="2256"/>
      <c r="Y50" s="2257"/>
      <c r="Z50" s="2257"/>
      <c r="AA50" s="2257"/>
      <c r="AB50" s="2257"/>
      <c r="AC50" s="2257"/>
      <c r="AD50" s="2257"/>
      <c r="AE50" s="2257"/>
      <c r="AF50" s="2258"/>
      <c r="AG50" s="2256" t="str">
        <f>INDEX(PT_DIFFERENTIATION_TER,MATCH(B50,PT_DIFFERENTIATION_TER_ID,0))</f>
        <v/>
      </c>
      <c r="AH50" s="2257"/>
      <c r="AI50" s="2257"/>
      <c r="AJ50" s="2257"/>
      <c r="AK50" s="2257"/>
      <c r="AL50" s="2257"/>
      <c r="AM50" s="2257"/>
      <c r="AN50" s="2257"/>
      <c r="AO50" s="2257"/>
      <c r="AP50" s="2258"/>
      <c r="AQ50" s="1177" t="s">
        <v>389</v>
      </c>
      <c r="AS50" s="426"/>
      <c r="AT50" s="426" t="str">
        <f t="shared" si="2"/>
        <v>Территория действия тарифа</v>
      </c>
      <c r="AU50" s="426"/>
      <c r="AV50" s="426"/>
    </row>
    <row r="51" spans="1:48" ht="22.5" customHeight="1">
      <c r="A51" s="1186" t="s">
        <v>173</v>
      </c>
      <c r="B51" s="1186" t="s">
        <v>174</v>
      </c>
      <c r="C51" s="1186" t="s">
        <v>175</v>
      </c>
      <c r="D51" s="1186"/>
      <c r="E51" s="2301"/>
      <c r="F51" s="2301"/>
      <c r="G51" s="2300">
        <v>1</v>
      </c>
      <c r="H51" s="1186"/>
      <c r="I51" s="1186"/>
      <c r="J51" s="1186"/>
      <c r="K51" s="1186"/>
      <c r="L51" s="1186"/>
      <c r="M51" s="1228"/>
      <c r="N51" s="608"/>
      <c r="O51" s="608"/>
      <c r="P51" s="608"/>
      <c r="Q51" s="279"/>
      <c r="R51" s="277"/>
      <c r="S51" s="435"/>
      <c r="T51" s="278"/>
      <c r="U51" s="1253" t="str">
        <f>INDEX(PT_DIFFERENTIATION_NUM_CS,MATCH(C51,PT_DIFFERENTIATION_CS_ID,0))</f>
        <v>..</v>
      </c>
      <c r="V51" s="229" t="s">
        <v>390</v>
      </c>
      <c r="W51" s="218"/>
      <c r="X51" s="2256"/>
      <c r="Y51" s="2257"/>
      <c r="Z51" s="2257"/>
      <c r="AA51" s="2257"/>
      <c r="AB51" s="2257"/>
      <c r="AC51" s="2257"/>
      <c r="AD51" s="2257"/>
      <c r="AE51" s="2257"/>
      <c r="AF51" s="2258"/>
      <c r="AG51" s="2256" t="str">
        <f>INDEX(PT_DIFFERENTIATION_CS,MATCH(C51,PT_DIFFERENTIATION_CS_ID,0))</f>
        <v/>
      </c>
      <c r="AH51" s="2257"/>
      <c r="AI51" s="2257"/>
      <c r="AJ51" s="2257"/>
      <c r="AK51" s="2257"/>
      <c r="AL51" s="2257"/>
      <c r="AM51" s="2257"/>
      <c r="AN51" s="2257"/>
      <c r="AO51" s="2257"/>
      <c r="AP51" s="2258"/>
      <c r="AQ51" s="1177" t="s">
        <v>391</v>
      </c>
      <c r="AS51" s="426"/>
      <c r="AT51" s="426" t="str">
        <f t="shared" si="2"/>
        <v xml:space="preserve">Наименование системы теплоснабжения </v>
      </c>
      <c r="AU51" s="426"/>
      <c r="AV51" s="426"/>
    </row>
    <row r="52" spans="1:48" ht="21" customHeight="1">
      <c r="A52" s="1186" t="s">
        <v>173</v>
      </c>
      <c r="B52" s="1186" t="s">
        <v>174</v>
      </c>
      <c r="C52" s="1186" t="s">
        <v>175</v>
      </c>
      <c r="D52" s="1186" t="s">
        <v>176</v>
      </c>
      <c r="E52" s="2301"/>
      <c r="F52" s="2301"/>
      <c r="G52" s="2301"/>
      <c r="H52" s="2300">
        <v>1</v>
      </c>
      <c r="I52" s="1186"/>
      <c r="J52" s="1186"/>
      <c r="K52" s="1186"/>
      <c r="L52" s="1186"/>
      <c r="M52" s="1228"/>
      <c r="N52" s="608"/>
      <c r="O52" s="608"/>
      <c r="P52" s="608"/>
      <c r="Q52" s="279"/>
      <c r="R52" s="277"/>
      <c r="S52" s="435"/>
      <c r="T52" s="278"/>
      <c r="U52" s="1253" t="str">
        <f>INDEX(PT_DIFFERENTIATION_NUM_IST_TE,MATCH(D52,PT_DIFFERENTIATION_IST_TE_ID,0))</f>
        <v>...</v>
      </c>
      <c r="V52" s="230" t="s">
        <v>392</v>
      </c>
      <c r="W52" s="218"/>
      <c r="X52" s="2256"/>
      <c r="Y52" s="2257"/>
      <c r="Z52" s="2257"/>
      <c r="AA52" s="2257"/>
      <c r="AB52" s="2257"/>
      <c r="AC52" s="2257"/>
      <c r="AD52" s="2257"/>
      <c r="AE52" s="2257"/>
      <c r="AF52" s="2258"/>
      <c r="AG52" s="2256" t="str">
        <f>INDEX(PT_DIFFERENTIATION_IST_TE,MATCH(D52,PT_DIFFERENTIATION_IST_TE_ID,0))</f>
        <v/>
      </c>
      <c r="AH52" s="2257"/>
      <c r="AI52" s="2257"/>
      <c r="AJ52" s="2257"/>
      <c r="AK52" s="2257"/>
      <c r="AL52" s="2257"/>
      <c r="AM52" s="2257"/>
      <c r="AN52" s="2257"/>
      <c r="AO52" s="2257"/>
      <c r="AP52" s="2258"/>
      <c r="AQ52" s="1177" t="s">
        <v>393</v>
      </c>
      <c r="AS52" s="426"/>
      <c r="AT52" s="426" t="str">
        <f t="shared" si="2"/>
        <v xml:space="preserve">Источник тепловой энергии  </v>
      </c>
      <c r="AU52" s="426"/>
      <c r="AV52" s="426"/>
    </row>
    <row r="53" spans="1:48" s="1820" customFormat="1" ht="0" hidden="1" customHeight="1">
      <c r="A53" s="1291" t="s">
        <v>173</v>
      </c>
      <c r="B53" s="1291" t="s">
        <v>174</v>
      </c>
      <c r="C53" s="1291" t="s">
        <v>175</v>
      </c>
      <c r="D53" s="1291" t="s">
        <v>176</v>
      </c>
      <c r="E53" s="2301"/>
      <c r="F53" s="2301"/>
      <c r="G53" s="2301"/>
      <c r="H53" s="2301"/>
      <c r="I53" s="2143" t="str">
        <f>U52&amp;".1"</f>
        <v>....1</v>
      </c>
      <c r="J53" s="1291"/>
      <c r="K53" s="1291"/>
      <c r="L53" s="1291"/>
      <c r="M53" s="1297" t="s">
        <v>394</v>
      </c>
      <c r="N53" s="1155"/>
      <c r="O53" s="1155"/>
      <c r="P53" s="1155"/>
      <c r="Q53" s="2269">
        <v>1</v>
      </c>
      <c r="R53" s="1248"/>
      <c r="S53" s="1248"/>
      <c r="T53" s="281"/>
      <c r="U53" s="949"/>
      <c r="V53" s="1299"/>
      <c r="W53" s="1300"/>
      <c r="X53" s="2297"/>
      <c r="Y53" s="2298"/>
      <c r="Z53" s="2298"/>
      <c r="AA53" s="2298"/>
      <c r="AB53" s="2298"/>
      <c r="AC53" s="2298"/>
      <c r="AD53" s="2298"/>
      <c r="AE53" s="2298"/>
      <c r="AF53" s="2299"/>
      <c r="AG53" s="2297"/>
      <c r="AH53" s="2298"/>
      <c r="AI53" s="2298"/>
      <c r="AJ53" s="2298"/>
      <c r="AK53" s="2298"/>
      <c r="AL53" s="2298"/>
      <c r="AM53" s="2298"/>
      <c r="AN53" s="2298"/>
      <c r="AO53" s="2298"/>
      <c r="AP53" s="2299"/>
      <c r="AQ53" s="1301"/>
      <c r="AS53" s="426"/>
      <c r="AT53" s="426" t="str">
        <f t="shared" si="2"/>
        <v/>
      </c>
      <c r="AU53" s="426"/>
      <c r="AV53" s="426"/>
    </row>
    <row r="54" spans="1:48" ht="21" customHeight="1">
      <c r="A54" s="1186" t="s">
        <v>173</v>
      </c>
      <c r="B54" s="1186" t="s">
        <v>174</v>
      </c>
      <c r="C54" s="1186" t="s">
        <v>175</v>
      </c>
      <c r="D54" s="1186" t="s">
        <v>176</v>
      </c>
      <c r="E54" s="2301"/>
      <c r="F54" s="2301"/>
      <c r="G54" s="2301"/>
      <c r="H54" s="2301"/>
      <c r="I54" s="2115"/>
      <c r="J54" s="2143" t="str">
        <f>I53&amp;".1"</f>
        <v>....1.1</v>
      </c>
      <c r="K54" s="1186"/>
      <c r="L54" s="1186"/>
      <c r="M54" s="1228" t="s">
        <v>397</v>
      </c>
      <c r="Q54" s="2269"/>
      <c r="R54" s="2269">
        <v>1</v>
      </c>
      <c r="S54" s="444"/>
      <c r="T54" s="282"/>
      <c r="U54" s="1253" t="str">
        <f>$J54</f>
        <v>....1.1</v>
      </c>
      <c r="V54" s="204" t="s">
        <v>398</v>
      </c>
      <c r="W54" s="218"/>
      <c r="X54" s="2259"/>
      <c r="Y54" s="2260"/>
      <c r="Z54" s="2260"/>
      <c r="AA54" s="2260"/>
      <c r="AB54" s="2260"/>
      <c r="AC54" s="2252"/>
      <c r="AD54" s="2252"/>
      <c r="AE54" s="2252"/>
      <c r="AF54" s="2302"/>
      <c r="AG54" s="2259"/>
      <c r="AH54" s="2260"/>
      <c r="AI54" s="2260"/>
      <c r="AJ54" s="2260"/>
      <c r="AK54" s="2260"/>
      <c r="AL54" s="2260"/>
      <c r="AM54" s="2260"/>
      <c r="AN54" s="2260"/>
      <c r="AO54" s="2260"/>
      <c r="AP54" s="2261"/>
      <c r="AQ54" s="1177" t="s">
        <v>399</v>
      </c>
      <c r="AS54" s="426"/>
      <c r="AT54" s="426" t="str">
        <f t="shared" si="2"/>
        <v>Группа потребителей</v>
      </c>
      <c r="AU54" s="426"/>
      <c r="AV54" s="426"/>
    </row>
    <row r="55" spans="1:48" ht="21" customHeight="1">
      <c r="A55" s="1186" t="s">
        <v>173</v>
      </c>
      <c r="B55" s="1186" t="s">
        <v>174</v>
      </c>
      <c r="C55" s="1186" t="s">
        <v>175</v>
      </c>
      <c r="D55" s="1186" t="s">
        <v>176</v>
      </c>
      <c r="E55" s="2301"/>
      <c r="F55" s="2301"/>
      <c r="G55" s="2301"/>
      <c r="H55" s="2301"/>
      <c r="I55" s="2115"/>
      <c r="J55" s="2115"/>
      <c r="K55" s="2143" t="str">
        <f>J54&amp;".1"</f>
        <v>....1.1.1</v>
      </c>
      <c r="L55" s="65"/>
      <c r="M55" s="1228" t="s">
        <v>400</v>
      </c>
      <c r="Q55" s="2269"/>
      <c r="R55" s="2269"/>
      <c r="S55" s="444">
        <v>1</v>
      </c>
      <c r="T55" s="282"/>
      <c r="U55" s="1253" t="str">
        <f>$K55</f>
        <v>....1.1.1</v>
      </c>
      <c r="V55" s="1264"/>
      <c r="W55" s="218"/>
      <c r="X55" s="668"/>
      <c r="Y55" s="668"/>
      <c r="Z55" s="668"/>
      <c r="AA55" s="668"/>
      <c r="AB55" s="1321"/>
      <c r="AC55" s="2273"/>
      <c r="AD55" s="2124" t="s">
        <v>61</v>
      </c>
      <c r="AE55" s="2273"/>
      <c r="AF55" s="2124" t="s">
        <v>61</v>
      </c>
      <c r="AG55" s="1323"/>
      <c r="AH55" s="668"/>
      <c r="AI55" s="668"/>
      <c r="AJ55" s="668"/>
      <c r="AK55" s="1176"/>
      <c r="AL55" s="2273"/>
      <c r="AM55" s="2124" t="s">
        <v>61</v>
      </c>
      <c r="AN55" s="2273"/>
      <c r="AO55" s="2124" t="s">
        <v>61</v>
      </c>
      <c r="AP55" s="1265"/>
      <c r="AQ55" s="1226" t="s">
        <v>439</v>
      </c>
      <c r="AR55" s="437" t="e">
        <f ca="1">STRCHECKDATE(X57:AP57)</f>
        <v>#NAME?</v>
      </c>
      <c r="AS55" s="426"/>
      <c r="AT55" s="426" t="str">
        <f t="shared" si="2"/>
        <v/>
      </c>
      <c r="AU55" s="426"/>
      <c r="AV55" s="426"/>
    </row>
    <row r="56" spans="1:48" ht="11.25" customHeight="1">
      <c r="A56" s="1186" t="s">
        <v>173</v>
      </c>
      <c r="B56" s="1186" t="s">
        <v>174</v>
      </c>
      <c r="C56" s="1186" t="s">
        <v>175</v>
      </c>
      <c r="D56" s="1186" t="s">
        <v>176</v>
      </c>
      <c r="E56" s="2301"/>
      <c r="F56" s="2301"/>
      <c r="G56" s="2301"/>
      <c r="H56" s="2301"/>
      <c r="I56" s="2115"/>
      <c r="J56" s="2115"/>
      <c r="K56" s="2115"/>
      <c r="L56" s="2143" t="str">
        <f>K55&amp;".1"</f>
        <v>....1.1.1.1</v>
      </c>
      <c r="M56" s="1228"/>
      <c r="Q56" s="2269"/>
      <c r="R56" s="2269"/>
      <c r="S56" s="444">
        <v>1</v>
      </c>
      <c r="T56" s="282"/>
      <c r="U56" s="1253" t="str">
        <f>$L56</f>
        <v>....1.1.1.1</v>
      </c>
      <c r="V56" s="1307"/>
      <c r="W56" s="218"/>
      <c r="X56" s="250"/>
      <c r="Y56" s="668"/>
      <c r="Z56" s="668"/>
      <c r="AA56" s="668"/>
      <c r="AB56" s="1321"/>
      <c r="AC56" s="2274"/>
      <c r="AD56" s="2124"/>
      <c r="AE56" s="2274"/>
      <c r="AF56" s="2124"/>
      <c r="AG56" s="1323"/>
      <c r="AH56" s="668"/>
      <c r="AI56" s="668"/>
      <c r="AJ56" s="668"/>
      <c r="AK56" s="1176"/>
      <c r="AL56" s="2274"/>
      <c r="AM56" s="2124"/>
      <c r="AN56" s="2274"/>
      <c r="AO56" s="2124"/>
      <c r="AP56" s="1265"/>
      <c r="AQ56" s="2265" t="s">
        <v>440</v>
      </c>
      <c r="AR56" s="437" t="e">
        <f ca="1">STRCHECKDATE(X58:AP58)</f>
        <v>#NAME?</v>
      </c>
      <c r="AS56" s="426"/>
      <c r="AT56" s="426" t="str">
        <f t="shared" si="2"/>
        <v/>
      </c>
      <c r="AU56" s="426"/>
      <c r="AV56" s="426"/>
    </row>
    <row r="57" spans="1:48" ht="0" hidden="1" customHeight="1">
      <c r="A57" s="1186" t="s">
        <v>173</v>
      </c>
      <c r="B57" s="1186" t="s">
        <v>174</v>
      </c>
      <c r="C57" s="1186" t="s">
        <v>175</v>
      </c>
      <c r="D57" s="1186" t="s">
        <v>176</v>
      </c>
      <c r="E57" s="2301"/>
      <c r="F57" s="2301"/>
      <c r="G57" s="2301"/>
      <c r="H57" s="2301"/>
      <c r="I57" s="2115"/>
      <c r="J57" s="2115"/>
      <c r="K57" s="2115"/>
      <c r="L57" s="2143"/>
      <c r="M57" s="1228"/>
      <c r="Q57" s="2269"/>
      <c r="R57" s="2269"/>
      <c r="S57" s="444"/>
      <c r="T57" s="282"/>
      <c r="U57" s="1259"/>
      <c r="V57" s="218"/>
      <c r="W57" s="218"/>
      <c r="X57" s="250"/>
      <c r="Y57" s="250"/>
      <c r="Z57" s="250"/>
      <c r="AA57" s="250"/>
      <c r="AB57" s="1322" t="str">
        <f>AC55&amp;"-"&amp;AE55</f>
        <v>-</v>
      </c>
      <c r="AC57" s="2274"/>
      <c r="AD57" s="2124"/>
      <c r="AE57" s="2274"/>
      <c r="AF57" s="2124"/>
      <c r="AG57" s="1298"/>
      <c r="AH57" s="250"/>
      <c r="AI57" s="250"/>
      <c r="AJ57" s="250"/>
      <c r="AK57" s="254" t="str">
        <f>AL55&amp;"-"&amp;AN55</f>
        <v>-</v>
      </c>
      <c r="AL57" s="2274"/>
      <c r="AM57" s="2124"/>
      <c r="AN57" s="2274"/>
      <c r="AO57" s="2124"/>
      <c r="AP57" s="1266"/>
      <c r="AQ57" s="2266"/>
      <c r="AS57" s="426"/>
      <c r="AT57" s="426" t="str">
        <f t="shared" si="2"/>
        <v/>
      </c>
      <c r="AU57" s="426"/>
      <c r="AV57" s="426"/>
    </row>
    <row r="58" spans="1:48" ht="11.25" customHeight="1">
      <c r="A58" s="1186" t="s">
        <v>173</v>
      </c>
      <c r="B58" s="1186" t="s">
        <v>174</v>
      </c>
      <c r="C58" s="1186" t="s">
        <v>175</v>
      </c>
      <c r="D58" s="1186" t="s">
        <v>176</v>
      </c>
      <c r="E58" s="2301"/>
      <c r="F58" s="2301"/>
      <c r="G58" s="2301"/>
      <c r="H58" s="2301"/>
      <c r="I58" s="2115"/>
      <c r="J58" s="2115"/>
      <c r="K58" s="2143"/>
      <c r="L58" s="1186"/>
      <c r="M58" s="1228"/>
      <c r="Q58" s="2269"/>
      <c r="R58" s="2269"/>
      <c r="S58" s="1248"/>
      <c r="T58" s="281"/>
      <c r="U58" s="1198"/>
      <c r="V58" s="206" t="s">
        <v>441</v>
      </c>
      <c r="W58" s="295"/>
      <c r="X58" s="295"/>
      <c r="Y58" s="295"/>
      <c r="Z58" s="295"/>
      <c r="AA58" s="295"/>
      <c r="AB58" s="295"/>
      <c r="AC58" s="2274"/>
      <c r="AD58" s="2124"/>
      <c r="AE58" s="2274"/>
      <c r="AF58" s="2124"/>
      <c r="AG58" s="295"/>
      <c r="AH58" s="295"/>
      <c r="AI58" s="295"/>
      <c r="AJ58" s="295"/>
      <c r="AK58" s="295"/>
      <c r="AL58" s="2274"/>
      <c r="AM58" s="2124"/>
      <c r="AN58" s="2274"/>
      <c r="AO58" s="2124"/>
      <c r="AP58" s="249"/>
      <c r="AQ58" s="2266"/>
      <c r="AS58" s="426"/>
      <c r="AT58" s="426" t="str">
        <f t="shared" si="2"/>
        <v>Добавить наименование поставщика</v>
      </c>
      <c r="AU58" s="426"/>
      <c r="AV58" s="426"/>
    </row>
    <row r="59" spans="1:48" ht="11.25" customHeight="1">
      <c r="A59" s="1186" t="s">
        <v>173</v>
      </c>
      <c r="B59" s="1186" t="s">
        <v>174</v>
      </c>
      <c r="C59" s="1186" t="s">
        <v>175</v>
      </c>
      <c r="D59" s="1186" t="s">
        <v>176</v>
      </c>
      <c r="E59" s="2301"/>
      <c r="F59" s="2301"/>
      <c r="G59" s="2301"/>
      <c r="H59" s="2301"/>
      <c r="I59" s="2115"/>
      <c r="J59" s="2143"/>
      <c r="K59" s="1186"/>
      <c r="L59" s="1186"/>
      <c r="M59" s="1228"/>
      <c r="Q59" s="2269"/>
      <c r="R59" s="2269"/>
      <c r="S59" s="1248"/>
      <c r="T59" s="281"/>
      <c r="U59" s="1198"/>
      <c r="V59" s="205" t="s">
        <v>402</v>
      </c>
      <c r="W59" s="295"/>
      <c r="X59" s="295"/>
      <c r="Y59" s="295"/>
      <c r="Z59" s="295"/>
      <c r="AA59" s="295"/>
      <c r="AB59" s="295"/>
      <c r="AC59" s="1324"/>
      <c r="AD59" s="1324"/>
      <c r="AE59" s="1324"/>
      <c r="AF59" s="1324"/>
      <c r="AG59" s="295"/>
      <c r="AH59" s="295"/>
      <c r="AI59" s="295"/>
      <c r="AJ59" s="295"/>
      <c r="AK59" s="295"/>
      <c r="AL59" s="295"/>
      <c r="AM59" s="295"/>
      <c r="AN59" s="295"/>
      <c r="AO59" s="295"/>
      <c r="AP59" s="249"/>
      <c r="AQ59" s="2267"/>
      <c r="AS59" s="426"/>
      <c r="AT59" s="426" t="str">
        <f t="shared" si="2"/>
        <v>Добавить вид теплоносителя (параметры теплоносителя)</v>
      </c>
      <c r="AU59" s="426"/>
      <c r="AV59" s="426"/>
    </row>
    <row r="60" spans="1:48" ht="11.25" customHeight="1">
      <c r="A60" s="1186" t="s">
        <v>173</v>
      </c>
      <c r="B60" s="1186" t="s">
        <v>174</v>
      </c>
      <c r="C60" s="1186" t="s">
        <v>175</v>
      </c>
      <c r="D60" s="1186" t="s">
        <v>176</v>
      </c>
      <c r="E60" s="2301"/>
      <c r="F60" s="2301"/>
      <c r="G60" s="2301"/>
      <c r="H60" s="2301"/>
      <c r="I60" s="2143"/>
      <c r="J60" s="1186"/>
      <c r="K60" s="1186"/>
      <c r="L60" s="1186"/>
      <c r="M60" s="1228"/>
      <c r="Q60" s="2269"/>
      <c r="R60" s="1248"/>
      <c r="S60" s="1248"/>
      <c r="T60" s="281"/>
      <c r="U60" s="1198"/>
      <c r="V60" s="292" t="s">
        <v>403</v>
      </c>
      <c r="W60" s="295"/>
      <c r="X60" s="295"/>
      <c r="Y60" s="295"/>
      <c r="Z60" s="295"/>
      <c r="AA60" s="295"/>
      <c r="AB60" s="295"/>
      <c r="AC60" s="295"/>
      <c r="AD60" s="295"/>
      <c r="AE60" s="295"/>
      <c r="AF60" s="294"/>
      <c r="AG60" s="295"/>
      <c r="AH60" s="295"/>
      <c r="AI60" s="295"/>
      <c r="AJ60" s="295"/>
      <c r="AK60" s="295"/>
      <c r="AL60" s="295"/>
      <c r="AM60" s="295"/>
      <c r="AN60" s="295"/>
      <c r="AO60" s="294"/>
      <c r="AP60" s="295"/>
      <c r="AQ60" s="221"/>
      <c r="AS60" s="426"/>
      <c r="AT60" s="426" t="str">
        <f t="shared" si="2"/>
        <v>Добавить группу потребителей</v>
      </c>
      <c r="AU60" s="426"/>
      <c r="AV60" s="426"/>
    </row>
    <row r="61" spans="1:48" ht="0" hidden="1" customHeight="1">
      <c r="A61" s="1186" t="s">
        <v>173</v>
      </c>
      <c r="B61" s="1186" t="s">
        <v>174</v>
      </c>
      <c r="C61" s="1186" t="s">
        <v>175</v>
      </c>
      <c r="D61" s="1186" t="s">
        <v>176</v>
      </c>
      <c r="E61" s="2301"/>
      <c r="F61" s="2301"/>
      <c r="G61" s="2301"/>
      <c r="H61" s="2300"/>
      <c r="I61" s="1186"/>
      <c r="J61" s="1186"/>
      <c r="K61" s="1186"/>
      <c r="L61" s="1186"/>
      <c r="M61" s="1228"/>
      <c r="N61" s="608"/>
      <c r="O61" s="608"/>
      <c r="P61" s="435"/>
      <c r="Q61" s="285"/>
      <c r="R61" s="304"/>
      <c r="S61" s="280"/>
      <c r="T61" s="285"/>
      <c r="U61" s="1302"/>
      <c r="V61" s="1303"/>
      <c r="W61" s="1304"/>
      <c r="X61" s="1304"/>
      <c r="Y61" s="1304"/>
      <c r="Z61" s="1304"/>
      <c r="AA61" s="1304"/>
      <c r="AB61" s="1304"/>
      <c r="AC61" s="1304"/>
      <c r="AD61" s="1304"/>
      <c r="AE61" s="1304"/>
      <c r="AF61" s="1304"/>
      <c r="AG61" s="1304"/>
      <c r="AH61" s="1304"/>
      <c r="AI61" s="1304"/>
      <c r="AJ61" s="1304"/>
      <c r="AK61" s="1304"/>
      <c r="AL61" s="1304"/>
      <c r="AM61" s="1304"/>
      <c r="AN61" s="1304"/>
      <c r="AO61" s="1304"/>
      <c r="AP61" s="1304"/>
      <c r="AQ61" s="1305"/>
      <c r="AS61" s="426"/>
      <c r="AT61" s="426" t="str">
        <f t="shared" si="2"/>
        <v/>
      </c>
      <c r="AU61" s="426"/>
      <c r="AV61" s="426"/>
    </row>
    <row r="62" spans="1:48" s="1930" customFormat="1" ht="0" hidden="1" customHeight="1">
      <c r="A62" s="1291" t="s">
        <v>173</v>
      </c>
      <c r="B62" s="1291" t="s">
        <v>174</v>
      </c>
      <c r="C62" s="1291" t="s">
        <v>175</v>
      </c>
      <c r="D62" s="1290"/>
      <c r="E62" s="2301"/>
      <c r="F62" s="2301"/>
      <c r="G62" s="2300"/>
      <c r="H62" s="1290"/>
      <c r="I62" s="1290"/>
      <c r="J62" s="1290"/>
      <c r="K62" s="1290"/>
      <c r="L62" s="1290"/>
      <c r="M62" s="1293"/>
      <c r="N62" s="1294"/>
      <c r="O62" s="1294"/>
      <c r="P62" s="276"/>
      <c r="Q62" s="1234"/>
      <c r="R62" s="1235"/>
      <c r="S62" s="1234"/>
      <c r="T62" s="1234"/>
      <c r="U62" s="1240"/>
      <c r="V62" s="1243" t="s">
        <v>405</v>
      </c>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S62" s="706"/>
      <c r="AT62" s="706" t="str">
        <f t="shared" si="2"/>
        <v>Добавить источник для дифференциации</v>
      </c>
      <c r="AU62" s="706"/>
      <c r="AV62" s="706"/>
    </row>
    <row r="63" spans="1:48" s="1930" customFormat="1" ht="0" hidden="1" customHeight="1">
      <c r="A63" s="1291" t="s">
        <v>173</v>
      </c>
      <c r="B63" s="1291" t="s">
        <v>174</v>
      </c>
      <c r="C63" s="1290"/>
      <c r="D63" s="1290"/>
      <c r="E63" s="2301"/>
      <c r="F63" s="2300"/>
      <c r="G63" s="1290"/>
      <c r="H63" s="1290"/>
      <c r="I63" s="1290"/>
      <c r="J63" s="1290"/>
      <c r="K63" s="1290"/>
      <c r="L63" s="1290"/>
      <c r="M63" s="1293"/>
      <c r="N63" s="1295"/>
      <c r="O63" s="1295"/>
      <c r="P63" s="276"/>
      <c r="Q63" s="1234"/>
      <c r="R63" s="1235"/>
      <c r="S63" s="1234"/>
      <c r="T63" s="1234"/>
      <c r="U63" s="1240"/>
      <c r="V63" s="1243" t="s">
        <v>215</v>
      </c>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S63" s="706"/>
      <c r="AT63" s="706" t="str">
        <f t="shared" si="2"/>
        <v>Добавить централизованную систему для дифференциации</v>
      </c>
      <c r="AU63" s="706"/>
      <c r="AV63" s="706"/>
    </row>
    <row r="64" spans="1:48" s="1820" customFormat="1" ht="0" hidden="1" customHeight="1">
      <c r="A64" s="1291" t="s">
        <v>173</v>
      </c>
      <c r="B64" s="1291"/>
      <c r="C64" s="1291"/>
      <c r="D64" s="1291"/>
      <c r="E64" s="2300"/>
      <c r="F64" s="1291"/>
      <c r="G64" s="1291"/>
      <c r="H64" s="1291"/>
      <c r="I64" s="1291"/>
      <c r="J64" s="1291"/>
      <c r="K64" s="1291"/>
      <c r="L64" s="1291"/>
      <c r="M64" s="1297"/>
      <c r="N64" s="1295"/>
      <c r="O64" s="1295"/>
      <c r="P64" s="276"/>
      <c r="Q64" s="313"/>
      <c r="R64" s="1261"/>
      <c r="S64" s="313"/>
      <c r="T64" s="313"/>
      <c r="U64" s="1240"/>
      <c r="V64" s="1243" t="s">
        <v>216</v>
      </c>
      <c r="W64" s="1242"/>
      <c r="X64" s="1242"/>
      <c r="Y64" s="1242"/>
      <c r="Z64" s="1242"/>
      <c r="AA64" s="1242"/>
      <c r="AB64" s="1242"/>
      <c r="AC64" s="1242"/>
      <c r="AD64" s="1242"/>
      <c r="AE64" s="1242"/>
      <c r="AF64" s="1242"/>
      <c r="AG64" s="1242"/>
      <c r="AH64" s="1242"/>
      <c r="AI64" s="1242"/>
      <c r="AJ64" s="1242"/>
      <c r="AK64" s="1242"/>
      <c r="AL64" s="1242"/>
      <c r="AM64" s="1242"/>
      <c r="AN64" s="1242"/>
      <c r="AO64" s="1242"/>
      <c r="AP64" s="1242"/>
      <c r="AQ64" s="1242"/>
      <c r="AS64" s="426"/>
      <c r="AT64" s="426" t="str">
        <f t="shared" si="2"/>
        <v>Добавить территорию для дифференциации</v>
      </c>
      <c r="AU64" s="426"/>
      <c r="AV64" s="426"/>
    </row>
    <row r="65" spans="1:48" s="1930" customFormat="1" ht="5.25" customHeight="1">
      <c r="A65" s="1290"/>
      <c r="B65" s="1290"/>
      <c r="C65" s="1290"/>
      <c r="D65" s="1290"/>
      <c r="E65" s="1291"/>
      <c r="F65" s="1290"/>
      <c r="G65" s="1290"/>
      <c r="H65" s="1290"/>
      <c r="I65" s="1290"/>
      <c r="J65" s="1290"/>
      <c r="K65" s="1290"/>
      <c r="L65" s="1290"/>
      <c r="M65" s="1293"/>
      <c r="N65" s="1295"/>
      <c r="O65" s="1295"/>
      <c r="P65" s="276"/>
      <c r="Q65" s="1234"/>
      <c r="R65" s="1235"/>
      <c r="S65" s="1234"/>
      <c r="T65" s="1234"/>
      <c r="U65" s="1240"/>
      <c r="V65" s="1243" t="s">
        <v>217</v>
      </c>
      <c r="W65" s="1242"/>
      <c r="X65" s="1242"/>
      <c r="Y65" s="1242"/>
      <c r="Z65" s="1242"/>
      <c r="AA65" s="1242"/>
      <c r="AB65" s="1242"/>
      <c r="AC65" s="1242"/>
      <c r="AD65" s="1242"/>
      <c r="AE65" s="1242"/>
      <c r="AF65" s="1242"/>
      <c r="AG65" s="1242"/>
      <c r="AH65" s="1242"/>
      <c r="AI65" s="1242"/>
      <c r="AJ65" s="1242"/>
      <c r="AK65" s="1242"/>
      <c r="AL65" s="1242"/>
      <c r="AM65" s="1242"/>
      <c r="AN65" s="1242"/>
      <c r="AO65" s="1242"/>
      <c r="AP65" s="1242"/>
      <c r="AQ65" s="1242"/>
      <c r="AS65" s="706"/>
      <c r="AT65" s="706" t="str">
        <f t="shared" si="2"/>
        <v>Добавить наименование тарифа</v>
      </c>
      <c r="AU65" s="706"/>
      <c r="AV65" s="706"/>
    </row>
    <row r="66" spans="1:48" ht="11.25" customHeight="1">
      <c r="N66" s="1055"/>
      <c r="O66" s="1055"/>
      <c r="P66" s="435"/>
      <c r="Q66" s="1055"/>
      <c r="R66" s="1055"/>
      <c r="S66" s="1055"/>
      <c r="T66" s="1055"/>
      <c r="U66" s="1055"/>
      <c r="AR66" s="1055"/>
      <c r="AS66" s="1055"/>
      <c r="AT66" s="1055"/>
      <c r="AU66" s="1055"/>
      <c r="AV66" s="1055"/>
    </row>
    <row r="67" spans="1:48" ht="33.75" customHeight="1">
      <c r="P67" s="435"/>
      <c r="U67" s="1164"/>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row>
    <row r="68" spans="1:48" ht="19.5" customHeight="1">
      <c r="P68" s="435"/>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row>
    <row r="69" spans="1:48" ht="14.25" customHeight="1">
      <c r="P69" s="435"/>
    </row>
    <row r="70" spans="1:48" ht="27" customHeight="1">
      <c r="P70" s="435"/>
      <c r="V70" s="2290"/>
      <c r="W70" s="2290"/>
      <c r="X70" s="2290"/>
      <c r="Y70" s="2290"/>
      <c r="Z70" s="2290"/>
      <c r="AA70" s="2290"/>
      <c r="AB70" s="2290"/>
      <c r="AC70" s="2290"/>
      <c r="AD70" s="2290"/>
      <c r="AE70" s="2290"/>
      <c r="AF70" s="2290"/>
      <c r="AG70" s="2290"/>
      <c r="AH70" s="2290"/>
      <c r="AI70" s="2290"/>
      <c r="AJ70" s="2290"/>
      <c r="AK70" s="2290"/>
      <c r="AL70" s="2290"/>
      <c r="AM70" s="2290"/>
      <c r="AN70" s="2290"/>
      <c r="AO70" s="2290"/>
      <c r="AP70" s="2290"/>
      <c r="AQ70" s="2290"/>
    </row>
    <row r="71" spans="1:48" ht="18" customHeight="1">
      <c r="P71" s="435"/>
      <c r="V71" s="2290"/>
      <c r="W71" s="2290"/>
      <c r="X71" s="2290"/>
      <c r="Y71" s="2290"/>
      <c r="Z71" s="2290"/>
      <c r="AA71" s="2290"/>
      <c r="AB71" s="2290"/>
      <c r="AC71" s="2290"/>
      <c r="AD71" s="2290"/>
      <c r="AE71" s="2290"/>
      <c r="AF71" s="2290"/>
      <c r="AG71" s="2290"/>
      <c r="AH71" s="2290"/>
      <c r="AI71" s="2290"/>
      <c r="AJ71" s="2290"/>
      <c r="AK71" s="2290"/>
      <c r="AL71" s="2290"/>
      <c r="AM71" s="2290"/>
      <c r="AN71" s="2290"/>
      <c r="AO71" s="2290"/>
      <c r="AP71" s="2290"/>
      <c r="AQ71" s="2290"/>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0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0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0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0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0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0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0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6A243-9DB1-69E6-55EE-4A4E6518733D}">
  <sheetPr>
    <tabColor theme="6" tint="0.39997558519241921"/>
  </sheetPr>
  <dimension ref="A1:AZ69"/>
  <sheetViews>
    <sheetView showGridLines="0" topLeftCell="R26" zoomScale="90"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2" style="1931" hidden="1" customWidth="1"/>
    <col min="10" max="10" width="9.85546875" style="1931" hidden="1" customWidth="1"/>
    <col min="11" max="11" width="11.42578125" style="1931" hidden="1" customWidth="1"/>
    <col min="12" max="12" width="19.140625" style="1932" hidden="1" customWidth="1"/>
    <col min="13" max="14" width="12.28515625" style="1933" hidden="1" customWidth="1"/>
    <col min="15" max="15" width="23.42578125" style="1933" hidden="1" customWidth="1"/>
    <col min="16" max="16" width="3.7109375" style="1933" hidden="1" customWidth="1"/>
    <col min="17" max="17" width="3.7109375" style="1934" hidden="1" customWidth="1"/>
    <col min="18" max="18" width="3.7109375" style="1939" customWidth="1"/>
    <col min="19" max="19" width="12.7109375" style="1940" customWidth="1"/>
    <col min="20" max="20" width="32" style="1905" customWidth="1"/>
    <col min="21" max="21" width="0.140625" style="1905" customWidth="1"/>
    <col min="22" max="23" width="21.7109375" style="1905" hidden="1" customWidth="1"/>
    <col min="24" max="24" width="11.7109375" style="1905" hidden="1" customWidth="1"/>
    <col min="25" max="25" width="3.7109375" style="1905" hidden="1" customWidth="1"/>
    <col min="26" max="26" width="11.7109375" style="1905" hidden="1" customWidth="1"/>
    <col min="27" max="27" width="8.5703125" style="1905" hidden="1" customWidth="1"/>
    <col min="28" max="28" width="5.42578125" style="1905" customWidth="1"/>
    <col min="29" max="30" width="3.7109375" style="1905" customWidth="1"/>
    <col min="31" max="31" width="24.7109375" style="1905" customWidth="1"/>
    <col min="32" max="34" width="3.7109375" style="1905" customWidth="1"/>
    <col min="35" max="35" width="24.7109375" style="1905" customWidth="1"/>
    <col min="36" max="38" width="3.7109375" style="1905" customWidth="1"/>
    <col min="39" max="39" width="18.85546875" style="1905" customWidth="1"/>
    <col min="40" max="41" width="21.7109375" style="1905" customWidth="1"/>
    <col min="42" max="42" width="11.7109375" style="1905" customWidth="1"/>
    <col min="43" max="43" width="3.7109375" style="1905" customWidth="1"/>
    <col min="44" max="44" width="11.7109375" style="1905" customWidth="1"/>
    <col min="45" max="45" width="8.5703125" style="1905" customWidth="1"/>
    <col min="46" max="46" width="4.7109375" style="1905" customWidth="1"/>
    <col min="47" max="47" width="115.7109375" style="1905" customWidth="1"/>
    <col min="48" max="49" width="10.5703125" style="1820"/>
    <col min="50" max="50" width="11.140625" style="1820" customWidth="1"/>
    <col min="51" max="52" width="10.5703125" style="1820"/>
  </cols>
  <sheetData>
    <row r="1" spans="1:52" ht="14.25" hidden="1" customHeight="1">
      <c r="W1" s="253"/>
      <c r="X1" s="253"/>
      <c r="AO1" s="253"/>
      <c r="AP1" s="253"/>
    </row>
    <row r="2" spans="1:52" ht="21" hidden="1" customHeight="1">
      <c r="A2" s="1279"/>
      <c r="B2" s="1279"/>
      <c r="C2" s="1279"/>
      <c r="D2" s="1279"/>
      <c r="E2" s="2270">
        <v>1</v>
      </c>
      <c r="F2" s="1279"/>
      <c r="G2" s="1279"/>
      <c r="H2" s="1279"/>
      <c r="I2" s="1279"/>
      <c r="J2" s="1279"/>
      <c r="K2" s="1279"/>
      <c r="L2" s="1280"/>
      <c r="M2" s="1281"/>
      <c r="N2" s="1281"/>
      <c r="O2" s="1281"/>
      <c r="P2" s="1325"/>
      <c r="Q2" s="786"/>
      <c r="R2" s="280"/>
      <c r="S2" s="1253" t="e">
        <f>INDEX(PT_DIFFERENTIATION_NUM_NTAR,MATCH(A2,PT_DIFFERENTIATION_NTAR_ID,0))</f>
        <v>#N/A</v>
      </c>
      <c r="T2" s="216" t="s">
        <v>122</v>
      </c>
      <c r="U2" s="218"/>
      <c r="V2" s="2257"/>
      <c r="W2" s="2257"/>
      <c r="X2" s="2257"/>
      <c r="Y2" s="2257"/>
      <c r="Z2" s="2257"/>
      <c r="AA2" s="2258"/>
      <c r="AB2" s="2256" t="e">
        <f>INDEX(PT_DIFFERENTIATION_NTAR,MATCH(A2,PT_DIFFERENTIATION_NTAR_ID,0))</f>
        <v>#N/A</v>
      </c>
      <c r="AC2" s="2257"/>
      <c r="AD2" s="2257"/>
      <c r="AE2" s="2257"/>
      <c r="AF2" s="2257"/>
      <c r="AG2" s="2257"/>
      <c r="AH2" s="2257"/>
      <c r="AI2" s="2257"/>
      <c r="AJ2" s="2257"/>
      <c r="AK2" s="2257"/>
      <c r="AL2" s="2257"/>
      <c r="AM2" s="2257"/>
      <c r="AN2" s="2257"/>
      <c r="AO2" s="2257"/>
      <c r="AP2" s="2257"/>
      <c r="AQ2" s="2257"/>
      <c r="AR2" s="2257"/>
      <c r="AS2" s="2257"/>
      <c r="AT2" s="2258"/>
      <c r="AU2" s="1177" t="s">
        <v>387</v>
      </c>
      <c r="AW2" s="426"/>
      <c r="AX2" s="426" t="str">
        <f t="shared" ref="AX2:AX8" si="0">IF(T2="","",T2)</f>
        <v>Наименование тарифа</v>
      </c>
      <c r="AY2" s="426"/>
      <c r="AZ2" s="426"/>
    </row>
    <row r="3" spans="1:52" ht="21" hidden="1" customHeight="1">
      <c r="A3" s="1279"/>
      <c r="B3" s="1279"/>
      <c r="C3" s="1279"/>
      <c r="D3" s="1279"/>
      <c r="E3" s="2271"/>
      <c r="F3" s="2270">
        <v>1</v>
      </c>
      <c r="G3" s="1279"/>
      <c r="H3" s="1279"/>
      <c r="I3" s="1279"/>
      <c r="J3" s="1279"/>
      <c r="K3" s="1279"/>
      <c r="L3" s="1280"/>
      <c r="M3" s="1281"/>
      <c r="N3" s="1281"/>
      <c r="O3" s="1281"/>
      <c r="P3" s="1326"/>
      <c r="Q3" s="1327"/>
      <c r="R3" s="278"/>
      <c r="S3" s="1253" t="e">
        <f>INDEX(PT_DIFFERENTIATION_NUM_TER,MATCH(B3,PT_DIFFERENTIATION_TER_ID,0))</f>
        <v>#N/A</v>
      </c>
      <c r="T3" s="228" t="s">
        <v>388</v>
      </c>
      <c r="U3" s="218"/>
      <c r="V3" s="2257"/>
      <c r="W3" s="2257"/>
      <c r="X3" s="2257"/>
      <c r="Y3" s="2257"/>
      <c r="Z3" s="2257"/>
      <c r="AA3" s="2258"/>
      <c r="AB3" s="2256" t="e">
        <f>INDEX(PT_DIFFERENTIATION_TER,MATCH(B3,PT_DIFFERENTIATION_TER_ID,0))</f>
        <v>#N/A</v>
      </c>
      <c r="AC3" s="2257"/>
      <c r="AD3" s="2257"/>
      <c r="AE3" s="2257"/>
      <c r="AF3" s="2257"/>
      <c r="AG3" s="2257"/>
      <c r="AH3" s="2257"/>
      <c r="AI3" s="2257"/>
      <c r="AJ3" s="2257"/>
      <c r="AK3" s="2257"/>
      <c r="AL3" s="2257"/>
      <c r="AM3" s="2257"/>
      <c r="AN3" s="2257"/>
      <c r="AO3" s="2257"/>
      <c r="AP3" s="2257"/>
      <c r="AQ3" s="2257"/>
      <c r="AR3" s="2257"/>
      <c r="AS3" s="2257"/>
      <c r="AT3" s="2258"/>
      <c r="AU3" s="1177" t="s">
        <v>389</v>
      </c>
      <c r="AW3" s="426"/>
      <c r="AX3" s="426" t="str">
        <f t="shared" si="0"/>
        <v>Территория действия тарифа</v>
      </c>
      <c r="AY3" s="426"/>
      <c r="AZ3" s="426"/>
    </row>
    <row r="4" spans="1:52" ht="22.5" hidden="1" customHeight="1">
      <c r="A4" s="1279"/>
      <c r="B4" s="1279"/>
      <c r="C4" s="1279"/>
      <c r="D4" s="1279"/>
      <c r="E4" s="2271"/>
      <c r="F4" s="2271"/>
      <c r="G4" s="2270">
        <v>1</v>
      </c>
      <c r="H4" s="1279"/>
      <c r="I4" s="1279"/>
      <c r="J4" s="1279"/>
      <c r="K4" s="1279"/>
      <c r="L4" s="1280"/>
      <c r="M4" s="1281"/>
      <c r="N4" s="1281"/>
      <c r="O4" s="1281"/>
      <c r="P4" s="1328"/>
      <c r="Q4" s="1327"/>
      <c r="R4" s="278"/>
      <c r="S4" s="1253" t="e">
        <f>INDEX(PT_DIFFERENTIATION_NUM_CS,MATCH(C4,PT_DIFFERENTIATION_CS_ID,0))</f>
        <v>#N/A</v>
      </c>
      <c r="T4" s="229" t="s">
        <v>390</v>
      </c>
      <c r="U4" s="218"/>
      <c r="V4" s="2257"/>
      <c r="W4" s="2257"/>
      <c r="X4" s="2257"/>
      <c r="Y4" s="2257"/>
      <c r="Z4" s="2257"/>
      <c r="AA4" s="2258"/>
      <c r="AB4" s="2256" t="e">
        <f>INDEX(PT_DIFFERENTIATION_CS,MATCH(C4,PT_DIFFERENTIATION_CS_ID,0))</f>
        <v>#N/A</v>
      </c>
      <c r="AC4" s="2257"/>
      <c r="AD4" s="2257"/>
      <c r="AE4" s="2257"/>
      <c r="AF4" s="2257"/>
      <c r="AG4" s="2257"/>
      <c r="AH4" s="2257"/>
      <c r="AI4" s="2257"/>
      <c r="AJ4" s="2257"/>
      <c r="AK4" s="2257"/>
      <c r="AL4" s="2257"/>
      <c r="AM4" s="2257"/>
      <c r="AN4" s="2257"/>
      <c r="AO4" s="2257"/>
      <c r="AP4" s="2257"/>
      <c r="AQ4" s="2257"/>
      <c r="AR4" s="2257"/>
      <c r="AS4" s="2257"/>
      <c r="AT4" s="2258"/>
      <c r="AU4" s="1177" t="s">
        <v>391</v>
      </c>
      <c r="AW4" s="426"/>
      <c r="AX4" s="426" t="str">
        <f t="shared" si="0"/>
        <v xml:space="preserve">Наименование системы теплоснабжения </v>
      </c>
      <c r="AY4" s="426"/>
      <c r="AZ4" s="426"/>
    </row>
    <row r="5" spans="1:52" ht="21" hidden="1" customHeight="1">
      <c r="A5" s="1279"/>
      <c r="B5" s="1279"/>
      <c r="C5" s="1279"/>
      <c r="D5" s="1279"/>
      <c r="E5" s="2271"/>
      <c r="F5" s="2271"/>
      <c r="G5" s="2271"/>
      <c r="H5" s="2270">
        <v>1</v>
      </c>
      <c r="I5" s="1279"/>
      <c r="J5" s="1279"/>
      <c r="K5" s="1279"/>
      <c r="L5" s="1280"/>
      <c r="M5" s="1281"/>
      <c r="N5" s="1281"/>
      <c r="O5" s="1281"/>
      <c r="P5" s="1328"/>
      <c r="Q5" s="1327"/>
      <c r="R5" s="278"/>
      <c r="S5" s="1253" t="e">
        <f>INDEX(PT_DIFFERENTIATION_NUM_IST_TE,MATCH(D5,PT_DIFFERENTIATION_IST_TE_ID,0))</f>
        <v>#N/A</v>
      </c>
      <c r="T5" s="230" t="s">
        <v>392</v>
      </c>
      <c r="U5" s="218"/>
      <c r="V5" s="2257"/>
      <c r="W5" s="2257"/>
      <c r="X5" s="2257"/>
      <c r="Y5" s="2257"/>
      <c r="Z5" s="2257"/>
      <c r="AA5" s="2258"/>
      <c r="AB5" s="2256" t="e">
        <f>INDEX(PT_DIFFERENTIATION_IST_TE,MATCH(D5,PT_DIFFERENTIATION_IST_TE_ID,0))</f>
        <v>#N/A</v>
      </c>
      <c r="AC5" s="2257"/>
      <c r="AD5" s="2257"/>
      <c r="AE5" s="2257"/>
      <c r="AF5" s="2257"/>
      <c r="AG5" s="2257"/>
      <c r="AH5" s="2257"/>
      <c r="AI5" s="2257"/>
      <c r="AJ5" s="2257"/>
      <c r="AK5" s="2257"/>
      <c r="AL5" s="2257"/>
      <c r="AM5" s="2257"/>
      <c r="AN5" s="2257"/>
      <c r="AO5" s="2257"/>
      <c r="AP5" s="2257"/>
      <c r="AQ5" s="2257"/>
      <c r="AR5" s="2257"/>
      <c r="AS5" s="2257"/>
      <c r="AT5" s="2258"/>
      <c r="AU5" s="1177" t="s">
        <v>393</v>
      </c>
      <c r="AW5" s="426"/>
      <c r="AX5" s="426" t="str">
        <f t="shared" si="0"/>
        <v xml:space="preserve">Источник тепловой энергии  </v>
      </c>
      <c r="AY5" s="426"/>
      <c r="AZ5" s="426"/>
    </row>
    <row r="6" spans="1:52" s="1820" customFormat="1" ht="14.25" hidden="1" customHeight="1">
      <c r="A6" s="1260"/>
      <c r="B6" s="1260"/>
      <c r="C6" s="1260"/>
      <c r="D6" s="1260"/>
      <c r="E6" s="2271"/>
      <c r="F6" s="2271"/>
      <c r="G6" s="2271"/>
      <c r="H6" s="2271"/>
      <c r="I6" s="2268" t="e">
        <f>S5&amp;".1"</f>
        <v>#N/A</v>
      </c>
      <c r="J6" s="1260"/>
      <c r="K6" s="1260"/>
      <c r="L6" s="1263" t="s">
        <v>394</v>
      </c>
      <c r="M6" s="436"/>
      <c r="N6" s="436"/>
      <c r="O6" s="436"/>
      <c r="P6" s="2269">
        <v>1</v>
      </c>
      <c r="Q6" s="1248"/>
      <c r="R6" s="281"/>
      <c r="S6" s="949"/>
      <c r="T6" s="1299"/>
      <c r="U6" s="1300"/>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01"/>
      <c r="AW6" s="426"/>
      <c r="AX6" s="426" t="str">
        <f t="shared" si="0"/>
        <v/>
      </c>
      <c r="AY6" s="426"/>
      <c r="AZ6" s="426"/>
    </row>
    <row r="7" spans="1:52" s="1820" customFormat="1" ht="14.25" hidden="1" customHeight="1">
      <c r="A7" s="1260"/>
      <c r="B7" s="1260"/>
      <c r="C7" s="1260"/>
      <c r="D7" s="1260"/>
      <c r="E7" s="2271"/>
      <c r="F7" s="2271"/>
      <c r="G7" s="2271"/>
      <c r="H7" s="2271"/>
      <c r="I7" s="2291"/>
      <c r="J7" s="2268" t="e">
        <f>S5&amp;".1"</f>
        <v>#N/A</v>
      </c>
      <c r="K7" s="1260"/>
      <c r="L7" s="1263"/>
      <c r="M7" s="436"/>
      <c r="N7" s="436"/>
      <c r="O7" s="436"/>
      <c r="P7" s="2269"/>
      <c r="Q7" s="2269">
        <v>1</v>
      </c>
      <c r="R7" s="282"/>
      <c r="S7" s="949"/>
      <c r="T7" s="1315"/>
      <c r="U7" s="1300"/>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01"/>
      <c r="AW7" s="426"/>
      <c r="AX7" s="426" t="str">
        <f t="shared" si="0"/>
        <v/>
      </c>
      <c r="AY7" s="426"/>
      <c r="AZ7" s="426"/>
    </row>
    <row r="8" spans="1:52" ht="21" hidden="1" customHeight="1">
      <c r="A8" s="1279"/>
      <c r="B8" s="1279"/>
      <c r="C8" s="1279"/>
      <c r="D8" s="1279"/>
      <c r="E8" s="2271"/>
      <c r="F8" s="2271"/>
      <c r="G8" s="2271"/>
      <c r="H8" s="2271"/>
      <c r="I8" s="2291"/>
      <c r="J8" s="2291"/>
      <c r="K8" s="2268" t="e">
        <f>S5&amp;".1"</f>
        <v>#N/A</v>
      </c>
      <c r="L8" s="1280"/>
      <c r="P8" s="2269"/>
      <c r="Q8" s="2269"/>
      <c r="R8" s="2326">
        <v>1</v>
      </c>
      <c r="S8" s="2320" t="e">
        <f>$K8</f>
        <v>#N/A</v>
      </c>
      <c r="T8" s="2323"/>
      <c r="U8" s="218"/>
      <c r="V8" s="668"/>
      <c r="W8" s="1176"/>
      <c r="X8" s="2273"/>
      <c r="Y8" s="2124" t="s">
        <v>61</v>
      </c>
      <c r="Z8" s="2273"/>
      <c r="AA8" s="2124" t="s">
        <v>61</v>
      </c>
      <c r="AB8" s="2124" t="s">
        <v>56</v>
      </c>
      <c r="AC8" s="2306"/>
      <c r="AD8" s="2224">
        <v>1</v>
      </c>
      <c r="AE8" s="2307"/>
      <c r="AF8" s="2124" t="s">
        <v>56</v>
      </c>
      <c r="AG8" s="2306"/>
      <c r="AH8" s="2224">
        <v>1</v>
      </c>
      <c r="AI8" s="2307"/>
      <c r="AJ8" s="2124" t="s">
        <v>56</v>
      </c>
      <c r="AK8" s="231"/>
      <c r="AL8" s="1254">
        <v>1</v>
      </c>
      <c r="AM8" s="1314"/>
      <c r="AN8" s="668"/>
      <c r="AO8" s="1176"/>
      <c r="AP8" s="1644"/>
      <c r="AQ8" s="1372" t="s">
        <v>61</v>
      </c>
      <c r="AR8" s="1644"/>
      <c r="AS8" s="1372" t="s">
        <v>61</v>
      </c>
      <c r="AT8" s="1265"/>
      <c r="AU8" s="2265" t="s">
        <v>451</v>
      </c>
      <c r="AV8" s="437" t="e">
        <f ca="1">STRCHECKDATE(V11:AT11)</f>
        <v>#NAME?</v>
      </c>
      <c r="AW8" s="426"/>
      <c r="AX8" s="426" t="str">
        <f t="shared" si="0"/>
        <v/>
      </c>
      <c r="AY8" s="426"/>
      <c r="AZ8" s="426"/>
    </row>
    <row r="9" spans="1:52" ht="11.25" hidden="1" customHeight="1">
      <c r="A9" s="1279"/>
      <c r="B9" s="1279"/>
      <c r="C9" s="1279"/>
      <c r="D9" s="1279"/>
      <c r="E9" s="2271"/>
      <c r="F9" s="2271"/>
      <c r="G9" s="2271"/>
      <c r="H9" s="2271"/>
      <c r="I9" s="2291"/>
      <c r="J9" s="2291"/>
      <c r="K9" s="2268"/>
      <c r="L9" s="1280"/>
      <c r="P9" s="2269"/>
      <c r="Q9" s="2269"/>
      <c r="R9" s="2326"/>
      <c r="S9" s="2321"/>
      <c r="T9" s="2324"/>
      <c r="U9" s="218"/>
      <c r="V9" s="1309"/>
      <c r="W9" s="1313"/>
      <c r="X9" s="2273"/>
      <c r="Y9" s="2124"/>
      <c r="Z9" s="2273"/>
      <c r="AA9" s="2124"/>
      <c r="AB9" s="2124"/>
      <c r="AC9" s="2306"/>
      <c r="AD9" s="2224"/>
      <c r="AE9" s="2307"/>
      <c r="AF9" s="2124"/>
      <c r="AG9" s="2306"/>
      <c r="AH9" s="2224"/>
      <c r="AI9" s="2307"/>
      <c r="AJ9" s="2124"/>
      <c r="AK9" s="238"/>
      <c r="AL9" s="350"/>
      <c r="AM9" s="349" t="s">
        <v>452</v>
      </c>
      <c r="AN9" s="1309"/>
      <c r="AO9" s="1406"/>
      <c r="AP9" s="1309"/>
      <c r="AQ9" s="1309"/>
      <c r="AR9" s="1309"/>
      <c r="AS9" s="1309"/>
      <c r="AT9" s="1306"/>
      <c r="AU9" s="2266"/>
      <c r="AW9" s="426"/>
      <c r="AX9" s="426"/>
      <c r="AY9" s="426"/>
      <c r="AZ9" s="426"/>
    </row>
    <row r="10" spans="1:52" ht="11.25" hidden="1" customHeight="1">
      <c r="A10" s="1279"/>
      <c r="B10" s="1279"/>
      <c r="C10" s="1279"/>
      <c r="D10" s="1279"/>
      <c r="E10" s="2271"/>
      <c r="F10" s="2271"/>
      <c r="G10" s="2271"/>
      <c r="H10" s="2271"/>
      <c r="I10" s="2291"/>
      <c r="J10" s="2291"/>
      <c r="K10" s="2268"/>
      <c r="L10" s="1280"/>
      <c r="P10" s="2269"/>
      <c r="Q10" s="2269"/>
      <c r="R10" s="2326"/>
      <c r="S10" s="2321"/>
      <c r="T10" s="2324"/>
      <c r="U10" s="218"/>
      <c r="V10" s="1309"/>
      <c r="W10" s="1313"/>
      <c r="X10" s="2273"/>
      <c r="Y10" s="2124"/>
      <c r="Z10" s="2273"/>
      <c r="AA10" s="2124"/>
      <c r="AB10" s="2124"/>
      <c r="AC10" s="2306"/>
      <c r="AD10" s="2224"/>
      <c r="AE10" s="2307"/>
      <c r="AF10" s="2124"/>
      <c r="AG10" s="212"/>
      <c r="AH10" s="349"/>
      <c r="AI10" s="349" t="s">
        <v>453</v>
      </c>
      <c r="AJ10" s="1309"/>
      <c r="AK10" s="1309"/>
      <c r="AL10" s="1309"/>
      <c r="AM10" s="1309"/>
      <c r="AN10" s="1309"/>
      <c r="AO10" s="1406"/>
      <c r="AP10" s="1309"/>
      <c r="AQ10" s="1309"/>
      <c r="AR10" s="1309"/>
      <c r="AS10" s="1309"/>
      <c r="AT10" s="1306"/>
      <c r="AU10" s="2266"/>
      <c r="AW10" s="426"/>
      <c r="AX10" s="426"/>
      <c r="AY10" s="426"/>
      <c r="AZ10" s="426"/>
    </row>
    <row r="11" spans="1:52" ht="11.25" hidden="1" customHeight="1">
      <c r="A11" s="1279"/>
      <c r="B11" s="1279"/>
      <c r="C11" s="1279"/>
      <c r="D11" s="1279"/>
      <c r="E11" s="2271"/>
      <c r="F11" s="2271"/>
      <c r="G11" s="2271"/>
      <c r="H11" s="2271"/>
      <c r="I11" s="2291"/>
      <c r="J11" s="2291"/>
      <c r="K11" s="2268"/>
      <c r="L11" s="1280"/>
      <c r="P11" s="2269"/>
      <c r="Q11" s="2269"/>
      <c r="R11" s="2326"/>
      <c r="S11" s="2322"/>
      <c r="T11" s="2325"/>
      <c r="U11" s="218"/>
      <c r="V11" s="1309"/>
      <c r="W11" s="1312" t="str">
        <f>X8&amp;"-"&amp;Z8</f>
        <v>-</v>
      </c>
      <c r="X11" s="2274"/>
      <c r="Y11" s="2124"/>
      <c r="Z11" s="2274"/>
      <c r="AA11" s="2124"/>
      <c r="AB11" s="2124"/>
      <c r="AC11" s="232"/>
      <c r="AD11" s="234"/>
      <c r="AE11" s="349" t="s">
        <v>454</v>
      </c>
      <c r="AF11" s="1309"/>
      <c r="AG11" s="1309"/>
      <c r="AH11" s="1309"/>
      <c r="AI11" s="1309"/>
      <c r="AJ11" s="1309"/>
      <c r="AK11" s="1309"/>
      <c r="AL11" s="1309"/>
      <c r="AM11" s="1309"/>
      <c r="AN11" s="1309"/>
      <c r="AO11" s="1310" t="str">
        <f>AP8&amp;"-"&amp;AR8</f>
        <v>-</v>
      </c>
      <c r="AP11" s="1309"/>
      <c r="AQ11" s="1309"/>
      <c r="AR11" s="1309"/>
      <c r="AS11" s="1309"/>
      <c r="AT11" s="1266"/>
      <c r="AU11" s="2266"/>
      <c r="AW11" s="426"/>
      <c r="AX11" s="426" t="str">
        <f t="shared" ref="AX11:AX17" si="1">IF(T11="","",T11)</f>
        <v/>
      </c>
      <c r="AY11" s="426"/>
      <c r="AZ11" s="426"/>
    </row>
    <row r="12" spans="1:52" ht="11.25" hidden="1" customHeight="1">
      <c r="A12" s="1279"/>
      <c r="B12" s="1279"/>
      <c r="C12" s="1279"/>
      <c r="D12" s="1279"/>
      <c r="E12" s="2271"/>
      <c r="F12" s="2271"/>
      <c r="G12" s="2271"/>
      <c r="H12" s="2271"/>
      <c r="I12" s="2291"/>
      <c r="J12" s="2268"/>
      <c r="K12" s="1279"/>
      <c r="L12" s="1280"/>
      <c r="P12" s="2269"/>
      <c r="Q12" s="2269"/>
      <c r="R12" s="281"/>
      <c r="S12" s="1198"/>
      <c r="T12" s="205" t="s">
        <v>455</v>
      </c>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5"/>
      <c r="AT12" s="249"/>
      <c r="AU12" s="2267"/>
      <c r="AW12" s="426"/>
      <c r="AX12" s="426" t="str">
        <f t="shared" si="1"/>
        <v>Добавить строку</v>
      </c>
      <c r="AY12" s="426"/>
      <c r="AZ12" s="426"/>
    </row>
    <row r="13" spans="1:52" s="1820" customFormat="1" ht="14.25" hidden="1" customHeight="1">
      <c r="A13" s="1260"/>
      <c r="B13" s="1260"/>
      <c r="C13" s="1260"/>
      <c r="D13" s="1260"/>
      <c r="E13" s="2271"/>
      <c r="F13" s="2271"/>
      <c r="G13" s="2271"/>
      <c r="H13" s="2271"/>
      <c r="I13" s="2268"/>
      <c r="J13" s="1260"/>
      <c r="K13" s="1260"/>
      <c r="L13" s="1263"/>
      <c r="M13" s="436"/>
      <c r="N13" s="436"/>
      <c r="O13" s="436"/>
      <c r="P13" s="2269"/>
      <c r="Q13" s="1248"/>
      <c r="R13" s="281"/>
      <c r="S13" s="1302"/>
      <c r="T13" s="1303"/>
      <c r="U13" s="1304"/>
      <c r="V13" s="1304"/>
      <c r="W13" s="1304"/>
      <c r="X13" s="1304"/>
      <c r="Y13" s="1304"/>
      <c r="Z13" s="1304"/>
      <c r="AA13" s="1304"/>
      <c r="AB13" s="1304"/>
      <c r="AC13" s="1304"/>
      <c r="AD13" s="1304"/>
      <c r="AE13" s="1304"/>
      <c r="AF13" s="1304"/>
      <c r="AG13" s="1304"/>
      <c r="AH13" s="1304"/>
      <c r="AI13" s="1304"/>
      <c r="AJ13" s="1304"/>
      <c r="AK13" s="1304"/>
      <c r="AL13" s="1304"/>
      <c r="AM13" s="1304"/>
      <c r="AN13" s="1304"/>
      <c r="AO13" s="1304"/>
      <c r="AP13" s="1304"/>
      <c r="AQ13" s="1304"/>
      <c r="AR13" s="1304"/>
      <c r="AS13" s="1304"/>
      <c r="AT13" s="1304"/>
      <c r="AU13" s="1305"/>
      <c r="AW13" s="426"/>
      <c r="AX13" s="426" t="str">
        <f t="shared" si="1"/>
        <v/>
      </c>
      <c r="AY13" s="426"/>
      <c r="AZ13" s="426"/>
    </row>
    <row r="14" spans="1:52" s="1820" customFormat="1" ht="14.25" hidden="1" customHeight="1">
      <c r="A14" s="1260"/>
      <c r="B14" s="1260"/>
      <c r="C14" s="1260"/>
      <c r="D14" s="1260"/>
      <c r="E14" s="2271"/>
      <c r="F14" s="2271"/>
      <c r="G14" s="2271"/>
      <c r="H14" s="2270"/>
      <c r="I14" s="1260"/>
      <c r="J14" s="1260"/>
      <c r="K14" s="1260"/>
      <c r="L14" s="1263"/>
      <c r="M14" s="1233"/>
      <c r="N14" s="1233"/>
      <c r="O14" s="444"/>
      <c r="P14" s="313"/>
      <c r="Q14" s="1261"/>
      <c r="R14" s="1317"/>
      <c r="S14" s="1302"/>
      <c r="T14" s="1303"/>
      <c r="U14" s="1304"/>
      <c r="V14" s="1304"/>
      <c r="W14" s="1304"/>
      <c r="X14" s="1304"/>
      <c r="Y14" s="1304"/>
      <c r="Z14" s="1304"/>
      <c r="AA14" s="1304"/>
      <c r="AB14" s="1304"/>
      <c r="AC14" s="1304"/>
      <c r="AD14" s="1304"/>
      <c r="AE14" s="1304"/>
      <c r="AF14" s="1304"/>
      <c r="AG14" s="1304"/>
      <c r="AH14" s="1304"/>
      <c r="AI14" s="1304"/>
      <c r="AJ14" s="1304"/>
      <c r="AK14" s="1304"/>
      <c r="AL14" s="1304"/>
      <c r="AM14" s="1304"/>
      <c r="AN14" s="1304"/>
      <c r="AO14" s="1304"/>
      <c r="AP14" s="1304"/>
      <c r="AQ14" s="1304"/>
      <c r="AR14" s="1304"/>
      <c r="AS14" s="1304"/>
      <c r="AT14" s="1304"/>
      <c r="AU14" s="1305"/>
      <c r="AW14" s="426"/>
      <c r="AX14" s="426" t="str">
        <f t="shared" si="1"/>
        <v/>
      </c>
      <c r="AY14" s="426"/>
      <c r="AZ14" s="426"/>
    </row>
    <row r="15" spans="1:52" s="1930" customFormat="1" ht="14.25" hidden="1" customHeight="1">
      <c r="A15" s="1260"/>
      <c r="B15" s="1260"/>
      <c r="C15" s="1260"/>
      <c r="D15" s="1232"/>
      <c r="E15" s="2271"/>
      <c r="F15" s="2271"/>
      <c r="G15" s="2270"/>
      <c r="H15" s="1232"/>
      <c r="I15" s="1232"/>
      <c r="J15" s="1232"/>
      <c r="K15" s="1232"/>
      <c r="L15" s="1256"/>
      <c r="M15" s="1233"/>
      <c r="N15" s="1233"/>
      <c r="P15" s="1234"/>
      <c r="Q15" s="1235"/>
      <c r="R15" s="1234"/>
      <c r="S15" s="1240"/>
      <c r="T15" s="1243" t="s">
        <v>405</v>
      </c>
      <c r="U15" s="1242"/>
      <c r="V15" s="1242"/>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R15" s="1242"/>
      <c r="AS15" s="1242"/>
      <c r="AT15" s="1242"/>
      <c r="AU15" s="1242"/>
      <c r="AW15" s="706"/>
      <c r="AX15" s="706" t="str">
        <f t="shared" si="1"/>
        <v>Добавить источник для дифференциации</v>
      </c>
      <c r="AY15" s="706"/>
      <c r="AZ15" s="706"/>
    </row>
    <row r="16" spans="1:52" s="1930" customFormat="1" ht="14.25" hidden="1" customHeight="1">
      <c r="A16" s="1260"/>
      <c r="B16" s="1260"/>
      <c r="C16" s="1232"/>
      <c r="D16" s="1232"/>
      <c r="E16" s="2271"/>
      <c r="F16" s="2270"/>
      <c r="G16" s="1232"/>
      <c r="H16" s="1232"/>
      <c r="I16" s="1232"/>
      <c r="J16" s="1232"/>
      <c r="K16" s="1232"/>
      <c r="L16" s="1256"/>
      <c r="M16" s="1239"/>
      <c r="N16" s="1239"/>
      <c r="P16" s="1234"/>
      <c r="Q16" s="1235"/>
      <c r="R16" s="1234"/>
      <c r="S16" s="1240"/>
      <c r="T16" s="1243" t="s">
        <v>215</v>
      </c>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W16" s="706"/>
      <c r="AX16" s="706" t="str">
        <f t="shared" si="1"/>
        <v>Добавить централизованную систему для дифференциации</v>
      </c>
      <c r="AY16" s="706"/>
      <c r="AZ16" s="706"/>
    </row>
    <row r="17" spans="1:52" s="1820" customFormat="1" ht="14.25" hidden="1" customHeight="1">
      <c r="A17" s="1260"/>
      <c r="B17" s="1260"/>
      <c r="C17" s="1260"/>
      <c r="D17" s="1260"/>
      <c r="E17" s="2270"/>
      <c r="F17" s="1260"/>
      <c r="G17" s="1260"/>
      <c r="H17" s="1260"/>
      <c r="I17" s="1260"/>
      <c r="J17" s="1260"/>
      <c r="K17" s="1260"/>
      <c r="L17" s="1263"/>
      <c r="M17" s="1239"/>
      <c r="N17" s="1239"/>
      <c r="O17" s="444"/>
      <c r="P17" s="313"/>
      <c r="Q17" s="1261"/>
      <c r="R17" s="313"/>
      <c r="S17" s="1240"/>
      <c r="T17" s="1243" t="s">
        <v>216</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W17" s="426"/>
      <c r="AX17" s="426" t="str">
        <f t="shared" si="1"/>
        <v>Добавить территорию для дифференциации</v>
      </c>
      <c r="AY17" s="426"/>
      <c r="AZ17" s="426"/>
    </row>
    <row r="18" spans="1:52" ht="14.25" hidden="1" customHeight="1">
      <c r="AA18" s="253"/>
      <c r="AS18" s="253"/>
    </row>
    <row r="19" spans="1:52" ht="14.25" hidden="1" customHeight="1">
      <c r="AB19" s="1242" t="s">
        <v>56</v>
      </c>
      <c r="AC19" s="1411"/>
      <c r="AD19" s="473">
        <v>1</v>
      </c>
      <c r="AE19" s="1412"/>
      <c r="AF19" s="1242" t="s">
        <v>56</v>
      </c>
      <c r="AG19" s="1411"/>
      <c r="AH19" s="473">
        <v>1</v>
      </c>
      <c r="AI19" s="1412"/>
      <c r="AJ19" s="1242" t="s">
        <v>56</v>
      </c>
      <c r="AK19" s="1413"/>
      <c r="AL19" s="473">
        <v>1</v>
      </c>
      <c r="AM19" s="1416"/>
      <c r="AN19" s="1319"/>
      <c r="AO19" s="1320"/>
      <c r="AP19" s="1646"/>
      <c r="AQ19" s="1373" t="s">
        <v>61</v>
      </c>
      <c r="AR19" s="1646"/>
      <c r="AS19" s="1373" t="s">
        <v>61</v>
      </c>
    </row>
    <row r="20" spans="1:52" ht="14.25" hidden="1" customHeight="1">
      <c r="AV20" s="422"/>
      <c r="AW20" s="422"/>
      <c r="AX20" s="422"/>
      <c r="AY20" s="422"/>
      <c r="AZ20" s="422"/>
    </row>
    <row r="21" spans="1:52" ht="14.25" hidden="1" customHeight="1">
      <c r="O21" s="1283" t="s">
        <v>406</v>
      </c>
      <c r="X21" s="1262"/>
      <c r="Z21" s="1262"/>
      <c r="AA21" s="253"/>
      <c r="AP21" s="1262"/>
      <c r="AR21" s="1262"/>
      <c r="AS21" s="253"/>
      <c r="AV21" s="422"/>
      <c r="AW21" s="422"/>
      <c r="AX21" s="422"/>
      <c r="AY21" s="422"/>
      <c r="AZ21" s="422"/>
    </row>
    <row r="22" spans="1:52" ht="14.25" hidden="1" customHeight="1">
      <c r="AA22" s="253"/>
      <c r="AS22" s="253"/>
      <c r="AV22" s="422"/>
      <c r="AW22" s="422"/>
      <c r="AX22" s="422"/>
      <c r="AY22" s="422"/>
      <c r="AZ22" s="422"/>
    </row>
    <row r="23" spans="1:52" s="1944" customFormat="1" ht="14.25" hidden="1" customHeight="1">
      <c r="M23" s="1418"/>
      <c r="N23" s="1418"/>
      <c r="O23" s="1419" t="s">
        <v>407</v>
      </c>
      <c r="P23" s="1418"/>
      <c r="Q23" s="1420"/>
      <c r="R23" s="1420"/>
      <c r="Y23" s="1417" t="s">
        <v>409</v>
      </c>
      <c r="AA23" s="1417" t="s">
        <v>410</v>
      </c>
      <c r="AB23" s="1417" t="s">
        <v>456</v>
      </c>
      <c r="AE23" s="1417" t="s">
        <v>457</v>
      </c>
      <c r="AF23" s="1417" t="s">
        <v>456</v>
      </c>
      <c r="AI23" s="1417" t="s">
        <v>458</v>
      </c>
      <c r="AJ23" s="1417" t="s">
        <v>456</v>
      </c>
      <c r="AM23" s="1417" t="s">
        <v>459</v>
      </c>
      <c r="AQ23" s="1417" t="s">
        <v>409</v>
      </c>
      <c r="AS23" s="1417" t="s">
        <v>410</v>
      </c>
      <c r="AV23" s="1421"/>
      <c r="AW23" s="1421"/>
      <c r="AX23" s="1421"/>
      <c r="AY23" s="1421"/>
      <c r="AZ23" s="1421"/>
    </row>
    <row r="24" spans="1:52" ht="14.25" hidden="1" customHeight="1">
      <c r="O24" s="1280"/>
      <c r="AV24" s="422"/>
      <c r="AW24" s="422"/>
      <c r="AX24" s="422"/>
      <c r="AY24" s="422"/>
      <c r="AZ24" s="422"/>
    </row>
    <row r="25" spans="1:52" ht="14.25" hidden="1" customHeight="1">
      <c r="O25" s="1280"/>
      <c r="AV25" s="422"/>
      <c r="AW25" s="422"/>
      <c r="AX25" s="422"/>
      <c r="AY25" s="422"/>
      <c r="AZ25" s="422"/>
    </row>
    <row r="26" spans="1:52" ht="14.25" customHeight="1">
      <c r="Q26" s="209"/>
      <c r="R26" s="305"/>
      <c r="S26" s="1195"/>
      <c r="T26" s="290"/>
      <c r="U26" s="290"/>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435"/>
      <c r="AS26" s="435"/>
    </row>
    <row r="27" spans="1:52" ht="26.25" customHeight="1">
      <c r="Q27" s="209"/>
      <c r="R27" s="305"/>
      <c r="S27" s="225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4"/>
      <c r="U27" s="2254"/>
      <c r="V27" s="2254"/>
      <c r="W27" s="2254"/>
      <c r="X27" s="2254"/>
      <c r="Y27" s="2254"/>
      <c r="Z27" s="2254"/>
      <c r="AA27" s="2254"/>
      <c r="AB27" s="2254"/>
      <c r="AC27" s="2254"/>
      <c r="AD27" s="2254"/>
      <c r="AE27" s="2254"/>
      <c r="AF27" s="2254"/>
      <c r="AG27" s="2254"/>
      <c r="AH27" s="2254"/>
      <c r="AI27" s="2254"/>
      <c r="AJ27" s="2254"/>
      <c r="AK27" s="2254"/>
      <c r="AL27" s="2254"/>
      <c r="AM27" s="2254"/>
      <c r="AN27" s="2254"/>
      <c r="AO27" s="2254"/>
      <c r="AP27" s="2254"/>
      <c r="AQ27" s="2254"/>
      <c r="AR27" s="2254"/>
      <c r="AS27" s="1152"/>
    </row>
    <row r="28" spans="1:52" ht="14.25" customHeight="1">
      <c r="Q28" s="209"/>
      <c r="R28" s="305"/>
      <c r="S28" s="2200" t="str">
        <f>IF(org=0,"Не определено",org)</f>
        <v>ПАО "Юнипро"</v>
      </c>
      <c r="T28" s="2200"/>
      <c r="U28" s="2200"/>
      <c r="V28" s="2200"/>
      <c r="W28" s="2200"/>
      <c r="X28" s="2200"/>
      <c r="Y28" s="2200"/>
      <c r="Z28" s="2200"/>
      <c r="AA28" s="2200"/>
      <c r="AB28" s="2200"/>
      <c r="AC28" s="2200"/>
      <c r="AD28" s="2200"/>
      <c r="AE28" s="2200"/>
      <c r="AF28" s="2200"/>
      <c r="AG28" s="2200"/>
      <c r="AH28" s="2200"/>
      <c r="AI28" s="2200"/>
      <c r="AJ28" s="2200"/>
      <c r="AK28" s="2200"/>
      <c r="AL28" s="2200"/>
      <c r="AM28" s="2200"/>
      <c r="AN28" s="2200"/>
      <c r="AO28" s="2200"/>
      <c r="AP28" s="2200"/>
      <c r="AQ28" s="2200"/>
      <c r="AR28" s="2200"/>
      <c r="AS28" s="1152"/>
    </row>
    <row r="29" spans="1:52" ht="14.25" customHeight="1">
      <c r="Q29" s="209"/>
      <c r="R29" s="305"/>
      <c r="S29" s="1195"/>
      <c r="T29" s="290"/>
      <c r="U29" s="290"/>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435"/>
    </row>
    <row r="30" spans="1:52" s="1936" customFormat="1" ht="25.5" customHeight="1">
      <c r="A30" s="1284"/>
      <c r="B30" s="1284"/>
      <c r="C30" s="1284"/>
      <c r="D30" s="1284"/>
      <c r="E30" s="1284"/>
      <c r="F30" s="1284"/>
      <c r="G30" s="1284"/>
      <c r="H30" s="1284"/>
      <c r="I30" s="1284"/>
      <c r="J30" s="1284"/>
      <c r="K30" s="1284"/>
      <c r="L30" s="1285"/>
      <c r="M30" s="1284"/>
      <c r="N30" s="1284"/>
      <c r="O30" s="1284"/>
      <c r="P30" s="1284"/>
      <c r="Q30" s="1284"/>
      <c r="S30" s="2262" t="s">
        <v>38</v>
      </c>
      <c r="T30" s="2262"/>
      <c r="U30" s="1288"/>
      <c r="V30" s="2263" t="str">
        <f>IF(TITLE_NAME_OR_PR_CHANGE="",IF(TITLE_NAME_OR_PR="","",TITLE_NAME_OR_PR),TITLE_NAME_OR_PR_CHANGE)</f>
        <v>Министерство тарифной политики Красноярского края</v>
      </c>
      <c r="W30" s="2263"/>
      <c r="X30" s="2263"/>
      <c r="Y30" s="2263"/>
      <c r="Z30" s="2263"/>
      <c r="AA30" s="252"/>
      <c r="AB30" s="2263" t="str">
        <f>IF(TITLE_NAME_OR_PR_CHANGE="",IF(TITLE_NAME_OR_PR="","",TITLE_NAME_OR_PR),TITLE_NAME_OR_PR_CHANGE)</f>
        <v>Министерство тарифной политики Красноярского края</v>
      </c>
      <c r="AC30" s="2263"/>
      <c r="AD30" s="2263"/>
      <c r="AE30" s="2263"/>
      <c r="AF30" s="2263"/>
      <c r="AG30" s="2263"/>
      <c r="AH30" s="2263"/>
      <c r="AI30" s="2263"/>
      <c r="AJ30" s="2263"/>
      <c r="AK30" s="2263"/>
      <c r="AL30" s="2263"/>
      <c r="AM30" s="2263"/>
      <c r="AN30" s="2263"/>
      <c r="AO30" s="2263"/>
      <c r="AP30" s="2263"/>
      <c r="AQ30" s="2263"/>
      <c r="AR30" s="2263"/>
      <c r="AS30" s="252"/>
      <c r="AT30" s="252"/>
      <c r="AU30" s="199"/>
      <c r="AV30" s="296"/>
      <c r="AW30" s="296"/>
      <c r="AX30" s="296"/>
      <c r="AY30" s="296"/>
      <c r="AZ30" s="296"/>
    </row>
    <row r="31" spans="1:52" s="1936" customFormat="1" ht="18.75" customHeight="1">
      <c r="A31" s="1284"/>
      <c r="B31" s="1284"/>
      <c r="C31" s="1284"/>
      <c r="D31" s="1284"/>
      <c r="E31" s="1284"/>
      <c r="F31" s="1284"/>
      <c r="G31" s="1284"/>
      <c r="H31" s="1284"/>
      <c r="I31" s="1284"/>
      <c r="J31" s="1284"/>
      <c r="K31" s="1284"/>
      <c r="L31" s="1285"/>
      <c r="M31" s="1284"/>
      <c r="N31" s="1284"/>
      <c r="O31" s="1284"/>
      <c r="P31" s="1284"/>
      <c r="Q31" s="1284"/>
      <c r="S31" s="2262" t="s">
        <v>412</v>
      </c>
      <c r="T31" s="2262"/>
      <c r="U31" s="1288"/>
      <c r="V31" s="2272">
        <f>IF(TITLE_DATE_PR_CHANGE="",IF(TITLE_DATE_PR="","",TITLE_DATE_PR),TITLE_DATE_PR_CHANGE)</f>
        <v>45278.357847222222</v>
      </c>
      <c r="W31" s="2272"/>
      <c r="X31" s="2272"/>
      <c r="Y31" s="2272"/>
      <c r="Z31" s="2272"/>
      <c r="AA31" s="252"/>
      <c r="AB31" s="2272">
        <f>IF(TITLE_DATE_PR_CHANGE="",IF(TITLE_DATE_PR="","",TITLE_DATE_PR),TITLE_DATE_PR_CHANGE)</f>
        <v>45278.357847222222</v>
      </c>
      <c r="AC31" s="2272"/>
      <c r="AD31" s="2272"/>
      <c r="AE31" s="2272"/>
      <c r="AF31" s="2272"/>
      <c r="AG31" s="2272"/>
      <c r="AH31" s="2272"/>
      <c r="AI31" s="2272"/>
      <c r="AJ31" s="2272"/>
      <c r="AK31" s="2272"/>
      <c r="AL31" s="2272"/>
      <c r="AM31" s="2272"/>
      <c r="AN31" s="2272"/>
      <c r="AO31" s="2272"/>
      <c r="AP31" s="2272"/>
      <c r="AQ31" s="2272"/>
      <c r="AR31" s="2272"/>
      <c r="AS31" s="252"/>
      <c r="AT31" s="252"/>
      <c r="AU31" s="199"/>
      <c r="AV31" s="296"/>
      <c r="AW31" s="296"/>
      <c r="AX31" s="296"/>
      <c r="AY31" s="296"/>
      <c r="AZ31" s="296"/>
    </row>
    <row r="32" spans="1:52" s="1936" customFormat="1" ht="18.75" customHeight="1">
      <c r="A32" s="1284"/>
      <c r="B32" s="1284"/>
      <c r="C32" s="1284"/>
      <c r="D32" s="1284"/>
      <c r="E32" s="1284"/>
      <c r="F32" s="1284"/>
      <c r="G32" s="1284"/>
      <c r="H32" s="1284"/>
      <c r="I32" s="1284"/>
      <c r="J32" s="1284"/>
      <c r="K32" s="1284"/>
      <c r="L32" s="1285"/>
      <c r="M32" s="1284"/>
      <c r="N32" s="1284"/>
      <c r="O32" s="1284"/>
      <c r="P32" s="1284"/>
      <c r="Q32" s="1284"/>
      <c r="S32" s="2262" t="s">
        <v>413</v>
      </c>
      <c r="T32" s="2262"/>
      <c r="U32" s="1288"/>
      <c r="V32" s="2263" t="str">
        <f>IF(TITLE_NUMBER_PR_CHANGE="",IF(TITLE_NUMBER_PR="","",TITLE_NUMBER_PR),TITLE_NUMBER_PR_CHANGE)</f>
        <v>924-в</v>
      </c>
      <c r="W32" s="2263"/>
      <c r="X32" s="2263"/>
      <c r="Y32" s="2263"/>
      <c r="Z32" s="2263"/>
      <c r="AA32" s="252"/>
      <c r="AB32" s="2263" t="str">
        <f>IF(TITLE_NUMBER_PR_CHANGE="",IF(TITLE_NUMBER_PR="","",TITLE_NUMBER_PR),TITLE_NUMBER_PR_CHANGE)</f>
        <v>924-в</v>
      </c>
      <c r="AC32" s="2263"/>
      <c r="AD32" s="2263"/>
      <c r="AE32" s="2263"/>
      <c r="AF32" s="2263"/>
      <c r="AG32" s="2263"/>
      <c r="AH32" s="2263"/>
      <c r="AI32" s="2263"/>
      <c r="AJ32" s="2263"/>
      <c r="AK32" s="2263"/>
      <c r="AL32" s="2263"/>
      <c r="AM32" s="2263"/>
      <c r="AN32" s="2263"/>
      <c r="AO32" s="2263"/>
      <c r="AP32" s="2263"/>
      <c r="AQ32" s="2263"/>
      <c r="AR32" s="2263"/>
      <c r="AS32" s="252"/>
      <c r="AT32" s="252"/>
      <c r="AU32" s="199"/>
      <c r="AV32" s="296"/>
      <c r="AW32" s="296"/>
      <c r="AX32" s="296"/>
      <c r="AY32" s="296"/>
      <c r="AZ32" s="296"/>
    </row>
    <row r="33" spans="1:52" s="1936" customFormat="1" ht="18.75" customHeight="1">
      <c r="A33" s="1284"/>
      <c r="B33" s="1284"/>
      <c r="C33" s="1284"/>
      <c r="D33" s="1284"/>
      <c r="E33" s="1284"/>
      <c r="F33" s="1284"/>
      <c r="G33" s="1284"/>
      <c r="H33" s="1284"/>
      <c r="I33" s="1284"/>
      <c r="J33" s="1284"/>
      <c r="K33" s="1284"/>
      <c r="L33" s="1285"/>
      <c r="M33" s="1284"/>
      <c r="N33" s="1284"/>
      <c r="O33" s="1284"/>
      <c r="P33" s="1284"/>
      <c r="Q33" s="1284"/>
      <c r="S33" s="2262" t="s">
        <v>40</v>
      </c>
      <c r="T33" s="2262"/>
      <c r="U33" s="1288"/>
      <c r="V33" s="2263" t="str">
        <f>IF(TITLE_IST_PUB_CHANGE="",IF(TITLE_IST_PUB="","",TITLE_IST_PUB),TITLE_IST_PUB_CHANGE)</f>
        <v>Официальный интернет-портал правовой информации Красноярского края (http://www.zakon.krskstate.ru/)</v>
      </c>
      <c r="W33" s="2263"/>
      <c r="X33" s="2263"/>
      <c r="Y33" s="2263"/>
      <c r="Z33" s="2263"/>
      <c r="AA33" s="252"/>
      <c r="AB33" s="2263" t="str">
        <f>IF(TITLE_IST_PUB_CHANGE="",IF(TITLE_IST_PUB="","",TITLE_IST_PUB),TITLE_IST_PUB_CHANGE)</f>
        <v>Официальный интернет-портал правовой информации Красноярского края (http://www.zakon.krskstate.ru/)</v>
      </c>
      <c r="AC33" s="2263"/>
      <c r="AD33" s="2263"/>
      <c r="AE33" s="2263"/>
      <c r="AF33" s="2263"/>
      <c r="AG33" s="2263"/>
      <c r="AH33" s="2263"/>
      <c r="AI33" s="2263"/>
      <c r="AJ33" s="2263"/>
      <c r="AK33" s="2263"/>
      <c r="AL33" s="2263"/>
      <c r="AM33" s="2263"/>
      <c r="AN33" s="2263"/>
      <c r="AO33" s="2263"/>
      <c r="AP33" s="2263"/>
      <c r="AQ33" s="2263"/>
      <c r="AR33" s="2263"/>
      <c r="AS33" s="252"/>
      <c r="AT33" s="252"/>
      <c r="AU33" s="199"/>
      <c r="AV33" s="296"/>
      <c r="AW33" s="296"/>
      <c r="AX33" s="296"/>
      <c r="AY33" s="296"/>
      <c r="AZ33" s="296"/>
    </row>
    <row r="34" spans="1:52" ht="14.25" hidden="1" customHeight="1">
      <c r="Q34" s="209"/>
      <c r="R34" s="305"/>
      <c r="S34" s="1195"/>
      <c r="T34" s="290"/>
      <c r="U34" s="290"/>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435"/>
    </row>
    <row r="35" spans="1:52" s="1936" customFormat="1" ht="18.75" hidden="1" customHeight="1">
      <c r="A35" s="1284"/>
      <c r="B35" s="1284"/>
      <c r="C35" s="1284"/>
      <c r="D35" s="1284"/>
      <c r="E35" s="1284"/>
      <c r="F35" s="1284"/>
      <c r="G35" s="1284"/>
      <c r="H35" s="1284"/>
      <c r="I35" s="1284"/>
      <c r="J35" s="1284"/>
      <c r="K35" s="1284"/>
      <c r="L35" s="1285"/>
      <c r="M35" s="1284"/>
      <c r="N35" s="1284"/>
      <c r="O35" s="1284"/>
      <c r="P35" s="1284"/>
      <c r="Q35" s="1284"/>
      <c r="S35" s="2262" t="s">
        <v>412</v>
      </c>
      <c r="T35" s="2262"/>
      <c r="U35" s="1288"/>
      <c r="V35" s="2272">
        <f>IF(TITLE_DATE_PR_CHANGE="",IF(TITLE_DATE_PR="","",TITLE_DATE_PR),TITLE_DATE_PR_CHANGE)</f>
        <v>45278.357847222222</v>
      </c>
      <c r="W35" s="2272"/>
      <c r="X35" s="2272"/>
      <c r="Y35" s="2272"/>
      <c r="Z35" s="2272"/>
      <c r="AA35" s="252"/>
      <c r="AB35" s="2272">
        <f>IF(TITLE_DATE_PR_CHANGE="",IF(TITLE_DATE_PR="","",TITLE_DATE_PR),TITLE_DATE_PR_CHANGE)</f>
        <v>45278.357847222222</v>
      </c>
      <c r="AC35" s="2272"/>
      <c r="AD35" s="2272"/>
      <c r="AE35" s="2272"/>
      <c r="AF35" s="2272"/>
      <c r="AG35" s="2272"/>
      <c r="AH35" s="2272"/>
      <c r="AI35" s="2272"/>
      <c r="AJ35" s="2272"/>
      <c r="AK35" s="2272"/>
      <c r="AL35" s="2272"/>
      <c r="AM35" s="2272"/>
      <c r="AN35" s="2272"/>
      <c r="AO35" s="2272"/>
      <c r="AP35" s="2272"/>
      <c r="AQ35" s="2272"/>
      <c r="AR35" s="2272"/>
      <c r="AS35" s="252"/>
      <c r="AT35" s="252"/>
      <c r="AU35" s="199"/>
      <c r="AV35" s="296"/>
      <c r="AW35" s="296"/>
      <c r="AX35" s="296"/>
      <c r="AY35" s="296"/>
      <c r="AZ35" s="296"/>
    </row>
    <row r="36" spans="1:52" s="1936" customFormat="1" ht="18" hidden="1" customHeight="1">
      <c r="A36" s="1284"/>
      <c r="B36" s="1284"/>
      <c r="C36" s="1284"/>
      <c r="D36" s="1284"/>
      <c r="E36" s="1284"/>
      <c r="F36" s="1284"/>
      <c r="G36" s="1284"/>
      <c r="H36" s="1284"/>
      <c r="I36" s="1284"/>
      <c r="J36" s="1284"/>
      <c r="K36" s="1284"/>
      <c r="L36" s="1285"/>
      <c r="M36" s="1284"/>
      <c r="N36" s="1284"/>
      <c r="O36" s="1284"/>
      <c r="P36" s="1284"/>
      <c r="Q36" s="1284"/>
      <c r="S36" s="2262" t="s">
        <v>413</v>
      </c>
      <c r="T36" s="2262"/>
      <c r="U36" s="1288"/>
      <c r="V36" s="2263" t="str">
        <f>IF(TITLE_NUMBER_PR_CHANGE="",IF(TITLE_NUMBER_PR="","",TITLE_NUMBER_PR),TITLE_NUMBER_PR_CHANGE)</f>
        <v>924-в</v>
      </c>
      <c r="W36" s="2263"/>
      <c r="X36" s="2263"/>
      <c r="Y36" s="2263"/>
      <c r="Z36" s="2263"/>
      <c r="AA36" s="252"/>
      <c r="AB36" s="2263" t="str">
        <f>IF(TITLE_NUMBER_PR_CHANGE="",IF(TITLE_NUMBER_PR="","",TITLE_NUMBER_PR),TITLE_NUMBER_PR_CHANGE)</f>
        <v>924-в</v>
      </c>
      <c r="AC36" s="2263"/>
      <c r="AD36" s="2263"/>
      <c r="AE36" s="2263"/>
      <c r="AF36" s="2263"/>
      <c r="AG36" s="2263"/>
      <c r="AH36" s="2263"/>
      <c r="AI36" s="2263"/>
      <c r="AJ36" s="2263"/>
      <c r="AK36" s="2263"/>
      <c r="AL36" s="2263"/>
      <c r="AM36" s="2263"/>
      <c r="AN36" s="2263"/>
      <c r="AO36" s="2263"/>
      <c r="AP36" s="2263"/>
      <c r="AQ36" s="2263"/>
      <c r="AR36" s="2263"/>
      <c r="AS36" s="252"/>
      <c r="AT36" s="252"/>
      <c r="AU36" s="199"/>
      <c r="AV36" s="296"/>
      <c r="AW36" s="296"/>
      <c r="AX36" s="296"/>
      <c r="AY36" s="296"/>
      <c r="AZ36" s="296"/>
    </row>
    <row r="37" spans="1:52" s="1936" customFormat="1" ht="0.75" customHeight="1">
      <c r="A37" s="1284"/>
      <c r="B37" s="1284"/>
      <c r="C37" s="1284"/>
      <c r="D37" s="1284"/>
      <c r="E37" s="1284"/>
      <c r="F37" s="1284"/>
      <c r="G37" s="1284"/>
      <c r="H37" s="1284"/>
      <c r="I37" s="1284"/>
      <c r="J37" s="1284"/>
      <c r="K37" s="1284"/>
      <c r="L37" s="1285"/>
      <c r="M37" s="1284"/>
      <c r="N37" s="1284"/>
      <c r="O37" s="1284"/>
      <c r="P37" s="1284"/>
      <c r="Q37" s="1284"/>
      <c r="S37" s="248"/>
      <c r="T37" s="248"/>
      <c r="U37" s="1257"/>
      <c r="V37" s="252"/>
      <c r="W37" s="252"/>
      <c r="X37" s="252"/>
      <c r="Y37" s="252"/>
      <c r="Z37" s="252"/>
      <c r="AA37" s="197" t="s">
        <v>416</v>
      </c>
      <c r="AB37" s="252"/>
      <c r="AC37" s="252"/>
      <c r="AD37" s="252"/>
      <c r="AE37" s="252"/>
      <c r="AF37" s="252"/>
      <c r="AG37" s="252"/>
      <c r="AH37" s="252"/>
      <c r="AI37" s="252"/>
      <c r="AJ37" s="252"/>
      <c r="AK37" s="252"/>
      <c r="AL37" s="252"/>
      <c r="AM37" s="252"/>
      <c r="AN37" s="252"/>
      <c r="AO37" s="252"/>
      <c r="AP37" s="252"/>
      <c r="AQ37" s="252"/>
      <c r="AR37" s="252"/>
      <c r="AS37" s="197" t="s">
        <v>416</v>
      </c>
      <c r="AV37" s="296"/>
      <c r="AW37" s="296"/>
      <c r="AX37" s="296"/>
      <c r="AY37" s="296"/>
      <c r="AZ37" s="296"/>
    </row>
    <row r="38" spans="1:52" ht="14.25" customHeight="1">
      <c r="Q38" s="209"/>
      <c r="R38" s="305"/>
      <c r="S38" s="1195"/>
      <c r="T38" s="290"/>
      <c r="U38" s="1153"/>
      <c r="V38" s="2264"/>
      <c r="W38" s="2264"/>
      <c r="X38" s="2264"/>
      <c r="Y38" s="2264"/>
      <c r="Z38" s="2264"/>
      <c r="AA38" s="2264"/>
      <c r="AB38" s="2264"/>
      <c r="AC38" s="2264"/>
      <c r="AD38" s="2264"/>
      <c r="AE38" s="2264"/>
      <c r="AF38" s="2264"/>
      <c r="AG38" s="2264"/>
      <c r="AH38" s="2264"/>
      <c r="AI38" s="2264"/>
      <c r="AJ38" s="2264"/>
      <c r="AK38" s="2264"/>
      <c r="AL38" s="2264"/>
      <c r="AM38" s="2264"/>
      <c r="AN38" s="2264"/>
      <c r="AO38" s="2264"/>
      <c r="AP38" s="2264"/>
      <c r="AQ38" s="2264"/>
      <c r="AR38" s="2264"/>
      <c r="AS38" s="2264"/>
    </row>
    <row r="39" spans="1:52" ht="14.25" customHeight="1">
      <c r="Q39" s="209"/>
      <c r="R39" s="305"/>
      <c r="S39" s="2143" t="s">
        <v>289</v>
      </c>
      <c r="T39" s="2143"/>
      <c r="U39" s="2143"/>
      <c r="V39" s="2143"/>
      <c r="W39" s="2143"/>
      <c r="X39" s="2143"/>
      <c r="Y39" s="2143"/>
      <c r="Z39" s="2143"/>
      <c r="AA39" s="2143"/>
      <c r="AB39" s="2199"/>
      <c r="AC39" s="2199"/>
      <c r="AD39" s="2199"/>
      <c r="AE39" s="2199"/>
      <c r="AF39" s="2143"/>
      <c r="AG39" s="2143"/>
      <c r="AH39" s="2143"/>
      <c r="AI39" s="2143"/>
      <c r="AJ39" s="2143"/>
      <c r="AK39" s="2143"/>
      <c r="AL39" s="2143"/>
      <c r="AM39" s="2143"/>
      <c r="AN39" s="2143"/>
      <c r="AO39" s="2143"/>
      <c r="AP39" s="2143"/>
      <c r="AQ39" s="2143"/>
      <c r="AR39" s="2143"/>
      <c r="AS39" s="2143"/>
      <c r="AT39" s="2143"/>
      <c r="AU39" s="2143" t="s">
        <v>290</v>
      </c>
    </row>
    <row r="40" spans="1:52" ht="14.25" customHeight="1">
      <c r="Q40" s="209"/>
      <c r="R40" s="305"/>
      <c r="S40" s="2278" t="s">
        <v>87</v>
      </c>
      <c r="T40" s="2229" t="s">
        <v>460</v>
      </c>
      <c r="U40" s="219"/>
      <c r="V40" s="2280"/>
      <c r="W40" s="2280"/>
      <c r="X40" s="2280"/>
      <c r="Y40" s="2280"/>
      <c r="Z40" s="2281"/>
      <c r="AA40" s="2316" t="s">
        <v>419</v>
      </c>
      <c r="AB40" s="2308" t="s">
        <v>461</v>
      </c>
      <c r="AC40" s="2294"/>
      <c r="AD40" s="2294"/>
      <c r="AE40" s="2309"/>
      <c r="AF40" s="2294" t="s">
        <v>462</v>
      </c>
      <c r="AG40" s="2294"/>
      <c r="AH40" s="2294"/>
      <c r="AI40" s="2309"/>
      <c r="AJ40" s="2308" t="s">
        <v>463</v>
      </c>
      <c r="AK40" s="2294"/>
      <c r="AL40" s="2294"/>
      <c r="AM40" s="2309"/>
      <c r="AN40" s="2308" t="s">
        <v>418</v>
      </c>
      <c r="AO40" s="2294"/>
      <c r="AP40" s="2280"/>
      <c r="AQ40" s="2280"/>
      <c r="AR40" s="2281"/>
      <c r="AS40" s="2282" t="s">
        <v>419</v>
      </c>
      <c r="AT40" s="2285" t="s">
        <v>421</v>
      </c>
      <c r="AU40" s="2143"/>
    </row>
    <row r="41" spans="1:52" ht="33.75" customHeight="1">
      <c r="Q41" s="209"/>
      <c r="R41" s="305"/>
      <c r="S41" s="2278"/>
      <c r="T41" s="2229"/>
      <c r="U41" s="938"/>
      <c r="V41" s="2214" t="s">
        <v>464</v>
      </c>
      <c r="W41" s="2215"/>
      <c r="X41" s="2214" t="s">
        <v>425</v>
      </c>
      <c r="Y41" s="2303"/>
      <c r="Z41" s="2215"/>
      <c r="AA41" s="2317"/>
      <c r="AB41" s="2310"/>
      <c r="AC41" s="2311"/>
      <c r="AD41" s="2311"/>
      <c r="AE41" s="2312"/>
      <c r="AF41" s="2311"/>
      <c r="AG41" s="2311"/>
      <c r="AH41" s="2311"/>
      <c r="AI41" s="2312"/>
      <c r="AJ41" s="2310"/>
      <c r="AK41" s="2311"/>
      <c r="AL41" s="2311"/>
      <c r="AM41" s="2311"/>
      <c r="AN41" s="2143" t="s">
        <v>465</v>
      </c>
      <c r="AO41" s="2143"/>
      <c r="AP41" s="2303" t="s">
        <v>425</v>
      </c>
      <c r="AQ41" s="2303"/>
      <c r="AR41" s="2215"/>
      <c r="AS41" s="2283"/>
      <c r="AT41" s="2286"/>
      <c r="AU41" s="2143"/>
    </row>
    <row r="42" spans="1:52" ht="14.25" customHeight="1">
      <c r="Q42" s="209"/>
      <c r="R42" s="305"/>
      <c r="S42" s="2278"/>
      <c r="T42" s="2229"/>
      <c r="U42" s="938"/>
      <c r="V42" s="2219"/>
      <c r="W42" s="2220"/>
      <c r="X42" s="2219"/>
      <c r="Y42" s="2304"/>
      <c r="Z42" s="2220"/>
      <c r="AA42" s="2317"/>
      <c r="AB42" s="2310"/>
      <c r="AC42" s="2311"/>
      <c r="AD42" s="2311"/>
      <c r="AE42" s="2312"/>
      <c r="AF42" s="2311"/>
      <c r="AG42" s="2311"/>
      <c r="AH42" s="2311"/>
      <c r="AI42" s="2312"/>
      <c r="AJ42" s="2310"/>
      <c r="AK42" s="2311"/>
      <c r="AL42" s="2311"/>
      <c r="AM42" s="2311"/>
      <c r="AN42" s="2319"/>
      <c r="AO42" s="2319"/>
      <c r="AP42" s="2304"/>
      <c r="AQ42" s="2304"/>
      <c r="AR42" s="2220"/>
      <c r="AS42" s="2283"/>
      <c r="AT42" s="2286"/>
      <c r="AU42" s="2143"/>
    </row>
    <row r="43" spans="1:52" ht="14.25" customHeight="1">
      <c r="A43" s="1286"/>
      <c r="B43" s="1286" t="s">
        <v>134</v>
      </c>
      <c r="C43" s="1286" t="s">
        <v>135</v>
      </c>
      <c r="D43" s="1286" t="s">
        <v>136</v>
      </c>
      <c r="E43" s="1280" t="s">
        <v>426</v>
      </c>
      <c r="F43" s="1280" t="s">
        <v>427</v>
      </c>
      <c r="G43" s="1280" t="s">
        <v>428</v>
      </c>
      <c r="H43" s="1280" t="s">
        <v>429</v>
      </c>
      <c r="I43" s="1280" t="s">
        <v>430</v>
      </c>
      <c r="J43" s="1280" t="s">
        <v>431</v>
      </c>
      <c r="K43" s="1280" t="s">
        <v>432</v>
      </c>
      <c r="L43" s="1280" t="s">
        <v>407</v>
      </c>
      <c r="Q43" s="209"/>
      <c r="R43" s="305"/>
      <c r="S43" s="2278"/>
      <c r="T43" s="2229"/>
      <c r="U43" s="220"/>
      <c r="V43" s="1247" t="s">
        <v>466</v>
      </c>
      <c r="W43" s="1247" t="s">
        <v>467</v>
      </c>
      <c r="X43" s="1255" t="s">
        <v>435</v>
      </c>
      <c r="Y43" s="2238" t="s">
        <v>436</v>
      </c>
      <c r="Z43" s="2240"/>
      <c r="AA43" s="2318"/>
      <c r="AB43" s="2313"/>
      <c r="AC43" s="2314"/>
      <c r="AD43" s="2314"/>
      <c r="AE43" s="2315"/>
      <c r="AF43" s="2314"/>
      <c r="AG43" s="2314"/>
      <c r="AH43" s="2314"/>
      <c r="AI43" s="2315"/>
      <c r="AJ43" s="2313"/>
      <c r="AK43" s="2314"/>
      <c r="AL43" s="2314"/>
      <c r="AM43" s="2315"/>
      <c r="AN43" s="1770" t="s">
        <v>466</v>
      </c>
      <c r="AO43" s="1770" t="s">
        <v>467</v>
      </c>
      <c r="AP43" s="1255" t="s">
        <v>435</v>
      </c>
      <c r="AQ43" s="2238" t="s">
        <v>436</v>
      </c>
      <c r="AR43" s="2240"/>
      <c r="AS43" s="2284"/>
      <c r="AT43" s="2287"/>
      <c r="AU43" s="2143"/>
    </row>
    <row r="44" spans="1:52" s="1819" customFormat="1" ht="11.25" hidden="1" customHeight="1">
      <c r="A44" s="1286"/>
      <c r="B44" s="1286"/>
      <c r="C44" s="1286"/>
      <c r="D44" s="1286"/>
      <c r="E44" s="1286"/>
      <c r="F44" s="1286"/>
      <c r="G44" s="1286"/>
      <c r="H44" s="1286"/>
      <c r="I44" s="1286"/>
      <c r="J44" s="1286"/>
      <c r="K44" s="1286"/>
      <c r="L44" s="1280"/>
      <c r="M44" s="1278"/>
      <c r="N44" s="1278"/>
      <c r="O44" s="1278"/>
      <c r="P44" s="436"/>
      <c r="Q44" s="1171"/>
      <c r="R44" s="1171">
        <v>1</v>
      </c>
      <c r="S44" s="1197" t="s">
        <v>108</v>
      </c>
      <c r="T44" s="1172" t="s">
        <v>109</v>
      </c>
      <c r="U44" s="1154" t="str">
        <f ca="1">OFFSET(U44,0,-1)</f>
        <v>2</v>
      </c>
      <c r="V44" s="1252">
        <f ca="1">OFFSET(V44,0,-1)+1</f>
        <v>3</v>
      </c>
      <c r="W44" s="1252">
        <f ca="1">OFFSET(W44,0,-1)+1</f>
        <v>4</v>
      </c>
      <c r="X44" s="1252">
        <f ca="1">OFFSET(X44,0,-1)+1</f>
        <v>5</v>
      </c>
      <c r="Y44" s="2277">
        <f ca="1">OFFSET(Y44,0,-1)+1</f>
        <v>6</v>
      </c>
      <c r="Z44" s="2277"/>
      <c r="AA44" s="1252">
        <f ca="1">OFFSET(AA44,0,-2)+1</f>
        <v>7</v>
      </c>
      <c r="AB44" s="1258">
        <f ca="1">OFFSET(AB44,0,-1)+1</f>
        <v>8</v>
      </c>
      <c r="AC44" s="1258"/>
      <c r="AD44" s="1258"/>
      <c r="AE44" s="1258"/>
      <c r="AF44" s="1252"/>
      <c r="AG44" s="1252"/>
      <c r="AH44" s="1252"/>
      <c r="AI44" s="1252"/>
      <c r="AJ44" s="1252"/>
      <c r="AK44" s="1252"/>
      <c r="AL44" s="1252"/>
      <c r="AM44" s="1252"/>
      <c r="AN44" s="1252">
        <f ca="1">OFFSET(AN44,0,-1)+1</f>
        <v>1</v>
      </c>
      <c r="AO44" s="1252">
        <f ca="1">OFFSET(AO44,0,-1)+1</f>
        <v>2</v>
      </c>
      <c r="AP44" s="1252">
        <f ca="1">OFFSET(AP44,0,-1)+1</f>
        <v>3</v>
      </c>
      <c r="AQ44" s="2277">
        <f ca="1">OFFSET(AQ44,0,-1)+1</f>
        <v>4</v>
      </c>
      <c r="AR44" s="2277"/>
      <c r="AS44" s="1252">
        <f ca="1">OFFSET(AS44,0,-2)+1</f>
        <v>5</v>
      </c>
      <c r="AT44" s="1154">
        <f ca="1">OFFSET(AT44,0,-1)</f>
        <v>5</v>
      </c>
      <c r="AU44" s="1252">
        <f ca="1">OFFSET(AU44,0,-1)+1</f>
        <v>6</v>
      </c>
      <c r="AV44" s="437"/>
      <c r="AW44" s="437"/>
      <c r="AX44" s="437"/>
      <c r="AY44" s="437"/>
      <c r="AZ44" s="437"/>
    </row>
    <row r="45" spans="1:52" ht="102" customHeight="1">
      <c r="A45" s="1279" t="s">
        <v>197</v>
      </c>
      <c r="B45" s="1279"/>
      <c r="C45" s="1279"/>
      <c r="D45" s="1279"/>
      <c r="E45" s="2270">
        <v>1</v>
      </c>
      <c r="F45" s="1279"/>
      <c r="G45" s="1279"/>
      <c r="H45" s="1279"/>
      <c r="I45" s="1279"/>
      <c r="J45" s="1279"/>
      <c r="K45" s="1279"/>
      <c r="L45" s="1280"/>
      <c r="M45" s="1281"/>
      <c r="N45" s="1281"/>
      <c r="O45" s="1281"/>
      <c r="P45" s="1325"/>
      <c r="Q45" s="786"/>
      <c r="R45" s="280"/>
      <c r="S45" s="1253">
        <f>INDEX(PT_DIFFERENTIATION_NUM_NTAR,MATCH(A45,PT_DIFFERENTIATION_NTAR_ID,0))</f>
        <v>0</v>
      </c>
      <c r="T45" s="216" t="s">
        <v>122</v>
      </c>
      <c r="U45" s="218"/>
      <c r="V45" s="2257"/>
      <c r="W45" s="2257"/>
      <c r="X45" s="2257"/>
      <c r="Y45" s="2257"/>
      <c r="Z45" s="2257"/>
      <c r="AA45" s="2258"/>
      <c r="AB45" s="2256" t="str">
        <f>INDEX(PT_DIFFERENTIATION_NTAR,MATCH(A45,PT_DIFFERENTIATION_NTAR_ID,0))</f>
        <v/>
      </c>
      <c r="AC45" s="2257"/>
      <c r="AD45" s="2257"/>
      <c r="AE45" s="2257"/>
      <c r="AF45" s="2257"/>
      <c r="AG45" s="2257"/>
      <c r="AH45" s="2257"/>
      <c r="AI45" s="2257"/>
      <c r="AJ45" s="2257"/>
      <c r="AK45" s="2257"/>
      <c r="AL45" s="2257"/>
      <c r="AM45" s="2257"/>
      <c r="AN45" s="2257"/>
      <c r="AO45" s="2257"/>
      <c r="AP45" s="2257"/>
      <c r="AQ45" s="2257"/>
      <c r="AR45" s="2257"/>
      <c r="AS45" s="2257"/>
      <c r="AT45" s="2258"/>
      <c r="AU45"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26"/>
      <c r="AX45" s="426" t="str">
        <f t="shared" ref="AX45:AX51" si="2">IF(T45="","",T45)</f>
        <v>Наименование тарифа</v>
      </c>
      <c r="AY45" s="426"/>
      <c r="AZ45" s="426"/>
    </row>
    <row r="46" spans="1:52" ht="21" customHeight="1">
      <c r="A46" s="1279" t="s">
        <v>197</v>
      </c>
      <c r="B46" s="1279" t="s">
        <v>198</v>
      </c>
      <c r="C46" s="1279"/>
      <c r="D46" s="1279"/>
      <c r="E46" s="2271"/>
      <c r="F46" s="2270">
        <v>1</v>
      </c>
      <c r="G46" s="1279"/>
      <c r="H46" s="1279"/>
      <c r="I46" s="1279"/>
      <c r="J46" s="1279"/>
      <c r="K46" s="1279"/>
      <c r="L46" s="1280"/>
      <c r="M46" s="1281"/>
      <c r="N46" s="1281"/>
      <c r="O46" s="1281"/>
      <c r="P46" s="1326"/>
      <c r="Q46" s="1327"/>
      <c r="R46" s="278"/>
      <c r="S46" s="1253" t="str">
        <f>INDEX(PT_DIFFERENTIATION_NUM_TER,MATCH(B46,PT_DIFFERENTIATION_TER_ID,0))</f>
        <v>.</v>
      </c>
      <c r="T46" s="228" t="s">
        <v>388</v>
      </c>
      <c r="U46" s="218"/>
      <c r="V46" s="2257"/>
      <c r="W46" s="2257"/>
      <c r="X46" s="2257"/>
      <c r="Y46" s="2257"/>
      <c r="Z46" s="2257"/>
      <c r="AA46" s="2258"/>
      <c r="AB46" s="2256" t="str">
        <f>INDEX(PT_DIFFERENTIATION_TER,MATCH(B46,PT_DIFFERENTIATION_TER_ID,0))</f>
        <v/>
      </c>
      <c r="AC46" s="2257"/>
      <c r="AD46" s="2257"/>
      <c r="AE46" s="2257"/>
      <c r="AF46" s="2257"/>
      <c r="AG46" s="2257"/>
      <c r="AH46" s="2257"/>
      <c r="AI46" s="2257"/>
      <c r="AJ46" s="2257"/>
      <c r="AK46" s="2257"/>
      <c r="AL46" s="2257"/>
      <c r="AM46" s="2257"/>
      <c r="AN46" s="2257"/>
      <c r="AO46" s="2257"/>
      <c r="AP46" s="2257"/>
      <c r="AQ46" s="2257"/>
      <c r="AR46" s="2257"/>
      <c r="AS46" s="2257"/>
      <c r="AT46" s="2258"/>
      <c r="AU46" s="1177" t="s">
        <v>389</v>
      </c>
      <c r="AW46" s="426"/>
      <c r="AX46" s="426" t="str">
        <f t="shared" si="2"/>
        <v>Территория действия тарифа</v>
      </c>
      <c r="AY46" s="426"/>
      <c r="AZ46" s="426"/>
    </row>
    <row r="47" spans="1:52" ht="23.25" customHeight="1">
      <c r="A47" s="1279" t="s">
        <v>197</v>
      </c>
      <c r="B47" s="1279" t="s">
        <v>198</v>
      </c>
      <c r="C47" s="1279" t="s">
        <v>199</v>
      </c>
      <c r="D47" s="1279"/>
      <c r="E47" s="2271"/>
      <c r="F47" s="2271"/>
      <c r="G47" s="2270">
        <v>1</v>
      </c>
      <c r="H47" s="1279"/>
      <c r="I47" s="1279"/>
      <c r="J47" s="1279"/>
      <c r="K47" s="1279"/>
      <c r="L47" s="1280"/>
      <c r="M47" s="1281"/>
      <c r="N47" s="1281"/>
      <c r="O47" s="1281"/>
      <c r="P47" s="1328"/>
      <c r="Q47" s="1327"/>
      <c r="R47" s="278"/>
      <c r="S47" s="1253" t="str">
        <f>INDEX(PT_DIFFERENTIATION_NUM_CS,MATCH(C47,PT_DIFFERENTIATION_CS_ID,0))</f>
        <v>..</v>
      </c>
      <c r="T47" s="229" t="s">
        <v>390</v>
      </c>
      <c r="U47" s="218"/>
      <c r="V47" s="2257"/>
      <c r="W47" s="2257"/>
      <c r="X47" s="2257"/>
      <c r="Y47" s="2257"/>
      <c r="Z47" s="2257"/>
      <c r="AA47" s="2258"/>
      <c r="AB47" s="2256" t="str">
        <f>INDEX(PT_DIFFERENTIATION_CS,MATCH(C47,PT_DIFFERENTIATION_CS_ID,0))</f>
        <v/>
      </c>
      <c r="AC47" s="2257"/>
      <c r="AD47" s="2257"/>
      <c r="AE47" s="2257"/>
      <c r="AF47" s="2257"/>
      <c r="AG47" s="2257"/>
      <c r="AH47" s="2257"/>
      <c r="AI47" s="2257"/>
      <c r="AJ47" s="2257"/>
      <c r="AK47" s="2257"/>
      <c r="AL47" s="2257"/>
      <c r="AM47" s="2257"/>
      <c r="AN47" s="2257"/>
      <c r="AO47" s="2257"/>
      <c r="AP47" s="2257"/>
      <c r="AQ47" s="2257"/>
      <c r="AR47" s="2257"/>
      <c r="AS47" s="2257"/>
      <c r="AT47" s="2258"/>
      <c r="AU47" s="1177" t="s">
        <v>391</v>
      </c>
      <c r="AW47" s="426"/>
      <c r="AX47" s="426" t="str">
        <f t="shared" si="2"/>
        <v xml:space="preserve">Наименование системы теплоснабжения </v>
      </c>
      <c r="AY47" s="426"/>
      <c r="AZ47" s="426"/>
    </row>
    <row r="48" spans="1:52" ht="21" customHeight="1">
      <c r="A48" s="1279" t="s">
        <v>197</v>
      </c>
      <c r="B48" s="1279" t="s">
        <v>198</v>
      </c>
      <c r="C48" s="1279" t="s">
        <v>199</v>
      </c>
      <c r="D48" s="1279" t="s">
        <v>200</v>
      </c>
      <c r="E48" s="2271"/>
      <c r="F48" s="2271"/>
      <c r="G48" s="2271"/>
      <c r="H48" s="2270">
        <v>1</v>
      </c>
      <c r="I48" s="1279"/>
      <c r="J48" s="1279"/>
      <c r="K48" s="1279"/>
      <c r="L48" s="1280"/>
      <c r="M48" s="1281"/>
      <c r="N48" s="1281"/>
      <c r="O48" s="1281"/>
      <c r="P48" s="1328"/>
      <c r="Q48" s="1327"/>
      <c r="R48" s="278"/>
      <c r="S48" s="1253" t="str">
        <f>INDEX(PT_DIFFERENTIATION_NUM_IST_TE,MATCH(D48,PT_DIFFERENTIATION_IST_TE_ID,0))</f>
        <v>...</v>
      </c>
      <c r="T48" s="230" t="s">
        <v>392</v>
      </c>
      <c r="U48" s="218"/>
      <c r="V48" s="2257"/>
      <c r="W48" s="2257"/>
      <c r="X48" s="2257"/>
      <c r="Y48" s="2257"/>
      <c r="Z48" s="2257"/>
      <c r="AA48" s="2258"/>
      <c r="AB48" s="2256" t="str">
        <f>INDEX(PT_DIFFERENTIATION_IST_TE,MATCH(D48,PT_DIFFERENTIATION_IST_TE_ID,0))</f>
        <v/>
      </c>
      <c r="AC48" s="2257"/>
      <c r="AD48" s="2257"/>
      <c r="AE48" s="2257"/>
      <c r="AF48" s="2257"/>
      <c r="AG48" s="2257"/>
      <c r="AH48" s="2257"/>
      <c r="AI48" s="2257"/>
      <c r="AJ48" s="2257"/>
      <c r="AK48" s="2257"/>
      <c r="AL48" s="2257"/>
      <c r="AM48" s="2257"/>
      <c r="AN48" s="2257"/>
      <c r="AO48" s="2257"/>
      <c r="AP48" s="2257"/>
      <c r="AQ48" s="2257"/>
      <c r="AR48" s="2257"/>
      <c r="AS48" s="2257"/>
      <c r="AT48" s="2258"/>
      <c r="AU48" s="1177" t="s">
        <v>393</v>
      </c>
      <c r="AW48" s="426"/>
      <c r="AX48" s="426" t="str">
        <f t="shared" si="2"/>
        <v xml:space="preserve">Источник тепловой энергии  </v>
      </c>
      <c r="AY48" s="426"/>
      <c r="AZ48" s="426"/>
    </row>
    <row r="49" spans="1:52" s="1820" customFormat="1" ht="0" hidden="1" customHeight="1">
      <c r="A49" s="1260" t="s">
        <v>197</v>
      </c>
      <c r="B49" s="1260" t="s">
        <v>198</v>
      </c>
      <c r="C49" s="1260" t="s">
        <v>199</v>
      </c>
      <c r="D49" s="1260" t="s">
        <v>200</v>
      </c>
      <c r="E49" s="2271"/>
      <c r="F49" s="2271"/>
      <c r="G49" s="2271"/>
      <c r="H49" s="2271"/>
      <c r="I49" s="2268" t="str">
        <f>S48&amp;".1"</f>
        <v>....1</v>
      </c>
      <c r="J49" s="1260"/>
      <c r="K49" s="1260"/>
      <c r="L49" s="1263" t="s">
        <v>394</v>
      </c>
      <c r="M49" s="436"/>
      <c r="N49" s="436"/>
      <c r="O49" s="436"/>
      <c r="P49" s="2269">
        <v>1</v>
      </c>
      <c r="Q49" s="1248"/>
      <c r="R49" s="281"/>
      <c r="S49" s="949"/>
      <c r="T49" s="1299"/>
      <c r="U49" s="1300"/>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01"/>
      <c r="AW49" s="426"/>
      <c r="AX49" s="426" t="str">
        <f t="shared" si="2"/>
        <v/>
      </c>
      <c r="AY49" s="426"/>
      <c r="AZ49" s="426"/>
    </row>
    <row r="50" spans="1:52" s="1820" customFormat="1" ht="0" hidden="1" customHeight="1">
      <c r="A50" s="1260" t="s">
        <v>197</v>
      </c>
      <c r="B50" s="1260" t="s">
        <v>198</v>
      </c>
      <c r="C50" s="1260" t="s">
        <v>199</v>
      </c>
      <c r="D50" s="1260" t="s">
        <v>200</v>
      </c>
      <c r="E50" s="2271"/>
      <c r="F50" s="2271"/>
      <c r="G50" s="2271"/>
      <c r="H50" s="2271"/>
      <c r="I50" s="2291"/>
      <c r="J50" s="2268" t="str">
        <f>S48&amp;".1"</f>
        <v>....1</v>
      </c>
      <c r="K50" s="1260"/>
      <c r="L50" s="1263"/>
      <c r="M50" s="436"/>
      <c r="N50" s="436"/>
      <c r="O50" s="436"/>
      <c r="P50" s="2269"/>
      <c r="Q50" s="2269">
        <v>1</v>
      </c>
      <c r="R50" s="282"/>
      <c r="S50" s="949"/>
      <c r="T50" s="1315"/>
      <c r="U50" s="1300"/>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01"/>
      <c r="AW50" s="426"/>
      <c r="AX50" s="426" t="str">
        <f t="shared" si="2"/>
        <v/>
      </c>
      <c r="AY50" s="426"/>
      <c r="AZ50" s="426"/>
    </row>
    <row r="51" spans="1:52" ht="21" customHeight="1">
      <c r="A51" s="1279" t="s">
        <v>197</v>
      </c>
      <c r="B51" s="1279" t="s">
        <v>198</v>
      </c>
      <c r="C51" s="1279" t="s">
        <v>199</v>
      </c>
      <c r="D51" s="1279" t="s">
        <v>200</v>
      </c>
      <c r="E51" s="2271"/>
      <c r="F51" s="2271"/>
      <c r="G51" s="2271"/>
      <c r="H51" s="2271"/>
      <c r="I51" s="2291"/>
      <c r="J51" s="2291"/>
      <c r="K51" s="2268" t="str">
        <f>S48&amp;".1"</f>
        <v>....1</v>
      </c>
      <c r="L51" s="1280"/>
      <c r="P51" s="2269"/>
      <c r="Q51" s="2269"/>
      <c r="R51" s="282">
        <v>1</v>
      </c>
      <c r="S51" s="2320" t="str">
        <f>$K51</f>
        <v>....1</v>
      </c>
      <c r="T51" s="2323"/>
      <c r="U51" s="218"/>
      <c r="V51" s="668"/>
      <c r="W51" s="1176"/>
      <c r="X51" s="1644"/>
      <c r="Y51" s="1372" t="s">
        <v>61</v>
      </c>
      <c r="Z51" s="1644"/>
      <c r="AA51" s="1372" t="s">
        <v>61</v>
      </c>
      <c r="AB51" s="2124" t="s">
        <v>56</v>
      </c>
      <c r="AC51" s="2306"/>
      <c r="AD51" s="2224">
        <v>1</v>
      </c>
      <c r="AE51" s="2327" t="s">
        <v>24</v>
      </c>
      <c r="AF51" s="2124" t="s">
        <v>56</v>
      </c>
      <c r="AG51" s="2306"/>
      <c r="AH51" s="2224">
        <v>1</v>
      </c>
      <c r="AI51" s="2327" t="s">
        <v>24</v>
      </c>
      <c r="AJ51" s="2124" t="s">
        <v>56</v>
      </c>
      <c r="AK51" s="231"/>
      <c r="AL51" s="1254">
        <v>1</v>
      </c>
      <c r="AM51" s="1318"/>
      <c r="AN51" s="668"/>
      <c r="AO51" s="1176"/>
      <c r="AP51" s="1644"/>
      <c r="AQ51" s="1372" t="s">
        <v>61</v>
      </c>
      <c r="AR51" s="1644"/>
      <c r="AS51" s="1372" t="s">
        <v>61</v>
      </c>
      <c r="AT51" s="1265"/>
      <c r="AU51" s="2265" t="s">
        <v>468</v>
      </c>
      <c r="AV51" s="437" t="e">
        <f ca="1">STRCHECKDATE(V54:AT54)</f>
        <v>#NAME?</v>
      </c>
      <c r="AW51" s="426"/>
      <c r="AX51" s="426" t="str">
        <f t="shared" si="2"/>
        <v/>
      </c>
      <c r="AY51" s="426"/>
      <c r="AZ51" s="426"/>
    </row>
    <row r="52" spans="1:52" ht="11.25" customHeight="1">
      <c r="A52" s="1279" t="s">
        <v>197</v>
      </c>
      <c r="B52" s="1279"/>
      <c r="C52" s="1279"/>
      <c r="D52" s="1279"/>
      <c r="E52" s="2271"/>
      <c r="F52" s="2271"/>
      <c r="G52" s="2271"/>
      <c r="H52" s="2271"/>
      <c r="I52" s="2291"/>
      <c r="J52" s="2291"/>
      <c r="K52" s="2268"/>
      <c r="L52" s="1280"/>
      <c r="P52" s="2269"/>
      <c r="Q52" s="2269"/>
      <c r="R52" s="282"/>
      <c r="S52" s="2321"/>
      <c r="T52" s="2324"/>
      <c r="U52" s="218"/>
      <c r="V52" s="1309"/>
      <c r="W52" s="1406"/>
      <c r="X52" s="1309"/>
      <c r="Y52" s="1309"/>
      <c r="Z52" s="1309"/>
      <c r="AA52" s="1309"/>
      <c r="AB52" s="2124"/>
      <c r="AC52" s="2306"/>
      <c r="AD52" s="2224"/>
      <c r="AE52" s="2327"/>
      <c r="AF52" s="2124"/>
      <c r="AG52" s="2306"/>
      <c r="AH52" s="2224"/>
      <c r="AI52" s="2327"/>
      <c r="AJ52" s="2124"/>
      <c r="AK52" s="238"/>
      <c r="AL52" s="350"/>
      <c r="AM52" s="349" t="s">
        <v>452</v>
      </c>
      <c r="AN52" s="1309"/>
      <c r="AO52" s="1406"/>
      <c r="AP52" s="1309"/>
      <c r="AQ52" s="1309"/>
      <c r="AR52" s="1309"/>
      <c r="AS52" s="1309"/>
      <c r="AT52" s="1306"/>
      <c r="AU52" s="2266"/>
      <c r="AW52" s="426"/>
      <c r="AX52" s="426"/>
      <c r="AY52" s="426"/>
      <c r="AZ52" s="426"/>
    </row>
    <row r="53" spans="1:52" ht="11.25" customHeight="1">
      <c r="A53" s="1279" t="s">
        <v>197</v>
      </c>
      <c r="B53" s="1279"/>
      <c r="C53" s="1279"/>
      <c r="D53" s="1279"/>
      <c r="E53" s="2271"/>
      <c r="F53" s="2271"/>
      <c r="G53" s="2271"/>
      <c r="H53" s="2271"/>
      <c r="I53" s="2291"/>
      <c r="J53" s="2291"/>
      <c r="K53" s="2268"/>
      <c r="L53" s="1280"/>
      <c r="P53" s="2269"/>
      <c r="Q53" s="2269"/>
      <c r="R53" s="282"/>
      <c r="S53" s="2321"/>
      <c r="T53" s="2324"/>
      <c r="U53" s="218"/>
      <c r="V53" s="1309"/>
      <c r="W53" s="1406"/>
      <c r="X53" s="1309"/>
      <c r="Y53" s="1309"/>
      <c r="Z53" s="1309"/>
      <c r="AA53" s="1309"/>
      <c r="AB53" s="2124"/>
      <c r="AC53" s="2306"/>
      <c r="AD53" s="2224"/>
      <c r="AE53" s="2327"/>
      <c r="AF53" s="2124"/>
      <c r="AG53" s="212"/>
      <c r="AH53" s="349"/>
      <c r="AI53" s="349" t="s">
        <v>453</v>
      </c>
      <c r="AJ53" s="1309"/>
      <c r="AK53" s="1309"/>
      <c r="AL53" s="1309"/>
      <c r="AM53" s="1309"/>
      <c r="AN53" s="1309"/>
      <c r="AO53" s="1406"/>
      <c r="AP53" s="1309"/>
      <c r="AQ53" s="1309"/>
      <c r="AR53" s="1309"/>
      <c r="AS53" s="1309"/>
      <c r="AT53" s="1306"/>
      <c r="AU53" s="2266"/>
      <c r="AW53" s="426"/>
      <c r="AX53" s="426"/>
      <c r="AY53" s="426"/>
      <c r="AZ53" s="426"/>
    </row>
    <row r="54" spans="1:52" ht="11.25" customHeight="1">
      <c r="A54" s="1279" t="s">
        <v>197</v>
      </c>
      <c r="B54" s="1279" t="s">
        <v>198</v>
      </c>
      <c r="C54" s="1279" t="s">
        <v>199</v>
      </c>
      <c r="D54" s="1279" t="s">
        <v>200</v>
      </c>
      <c r="E54" s="2271"/>
      <c r="F54" s="2271"/>
      <c r="G54" s="2271"/>
      <c r="H54" s="2271"/>
      <c r="I54" s="2291"/>
      <c r="J54" s="2291"/>
      <c r="K54" s="2268"/>
      <c r="L54" s="1280"/>
      <c r="P54" s="2269"/>
      <c r="Q54" s="2269"/>
      <c r="R54" s="282"/>
      <c r="S54" s="2322"/>
      <c r="T54" s="2325"/>
      <c r="U54" s="218"/>
      <c r="V54" s="1309"/>
      <c r="W54" s="1310" t="str">
        <f>X51&amp;"-"&amp;Z51</f>
        <v>-</v>
      </c>
      <c r="X54" s="1309"/>
      <c r="Y54" s="1309"/>
      <c r="Z54" s="1309"/>
      <c r="AA54" s="1309"/>
      <c r="AB54" s="2124"/>
      <c r="AC54" s="232"/>
      <c r="AD54" s="234"/>
      <c r="AE54" s="349" t="s">
        <v>454</v>
      </c>
      <c r="AF54" s="1309"/>
      <c r="AG54" s="1309"/>
      <c r="AH54" s="1309"/>
      <c r="AI54" s="1309"/>
      <c r="AJ54" s="1309"/>
      <c r="AK54" s="1309"/>
      <c r="AL54" s="1309"/>
      <c r="AM54" s="1309"/>
      <c r="AN54" s="1309"/>
      <c r="AO54" s="1310" t="str">
        <f>AP51&amp;"-"&amp;AR51</f>
        <v>-</v>
      </c>
      <c r="AP54" s="1309"/>
      <c r="AQ54" s="1309"/>
      <c r="AR54" s="1309"/>
      <c r="AS54" s="1309"/>
      <c r="AT54" s="1266"/>
      <c r="AU54" s="2266"/>
      <c r="AW54" s="426"/>
      <c r="AX54" s="426" t="str">
        <f t="shared" ref="AX54:AX62" si="3">IF(T54="","",T54)</f>
        <v/>
      </c>
      <c r="AY54" s="426"/>
      <c r="AZ54" s="426"/>
    </row>
    <row r="55" spans="1:52" ht="11.25" customHeight="1">
      <c r="A55" s="1279" t="s">
        <v>197</v>
      </c>
      <c r="B55" s="1279" t="s">
        <v>198</v>
      </c>
      <c r="C55" s="1279" t="s">
        <v>199</v>
      </c>
      <c r="D55" s="1279" t="s">
        <v>200</v>
      </c>
      <c r="E55" s="2271"/>
      <c r="F55" s="2271"/>
      <c r="G55" s="2271"/>
      <c r="H55" s="2271"/>
      <c r="I55" s="2291"/>
      <c r="J55" s="2268"/>
      <c r="K55" s="1279"/>
      <c r="L55" s="1280"/>
      <c r="P55" s="2269"/>
      <c r="Q55" s="2269"/>
      <c r="R55" s="281"/>
      <c r="S55" s="1198"/>
      <c r="T55" s="205" t="s">
        <v>455</v>
      </c>
      <c r="U55" s="295"/>
      <c r="V55" s="295"/>
      <c r="W55" s="295"/>
      <c r="X55" s="295"/>
      <c r="Y55" s="295"/>
      <c r="Z55" s="295"/>
      <c r="AA55" s="249"/>
      <c r="AB55" s="1415"/>
      <c r="AC55" s="295"/>
      <c r="AD55" s="295"/>
      <c r="AE55" s="295"/>
      <c r="AF55" s="295"/>
      <c r="AG55" s="295"/>
      <c r="AH55" s="295"/>
      <c r="AI55" s="295"/>
      <c r="AJ55" s="295"/>
      <c r="AK55" s="295"/>
      <c r="AL55" s="295"/>
      <c r="AM55" s="295"/>
      <c r="AN55" s="295"/>
      <c r="AO55" s="295"/>
      <c r="AP55" s="295"/>
      <c r="AQ55" s="295"/>
      <c r="AR55" s="295"/>
      <c r="AS55" s="295"/>
      <c r="AT55" s="249"/>
      <c r="AU55" s="2267"/>
      <c r="AW55" s="426"/>
      <c r="AX55" s="426" t="str">
        <f t="shared" si="3"/>
        <v>Добавить строку</v>
      </c>
      <c r="AY55" s="426"/>
      <c r="AZ55" s="426"/>
    </row>
    <row r="56" spans="1:52" s="1820" customFormat="1" ht="0" hidden="1" customHeight="1">
      <c r="A56" s="1260" t="s">
        <v>197</v>
      </c>
      <c r="B56" s="1260" t="s">
        <v>198</v>
      </c>
      <c r="C56" s="1260" t="s">
        <v>199</v>
      </c>
      <c r="D56" s="1260" t="s">
        <v>200</v>
      </c>
      <c r="E56" s="2271"/>
      <c r="F56" s="2271"/>
      <c r="G56" s="2271"/>
      <c r="H56" s="2271"/>
      <c r="I56" s="2268"/>
      <c r="J56" s="1260"/>
      <c r="K56" s="1260"/>
      <c r="L56" s="1263"/>
      <c r="M56" s="436"/>
      <c r="N56" s="436"/>
      <c r="O56" s="436"/>
      <c r="P56" s="2269"/>
      <c r="Q56" s="1248"/>
      <c r="R56" s="281"/>
      <c r="S56" s="1302"/>
      <c r="T56" s="1303" t="s">
        <v>403</v>
      </c>
      <c r="U56" s="1304"/>
      <c r="V56" s="1304"/>
      <c r="W56" s="1304"/>
      <c r="X56" s="1304"/>
      <c r="Y56" s="1304"/>
      <c r="Z56" s="1304"/>
      <c r="AA56" s="1304"/>
      <c r="AB56" s="1304"/>
      <c r="AC56" s="1304"/>
      <c r="AD56" s="1304"/>
      <c r="AE56" s="1304"/>
      <c r="AF56" s="1304"/>
      <c r="AG56" s="1304"/>
      <c r="AH56" s="1304"/>
      <c r="AI56" s="1304"/>
      <c r="AJ56" s="1304"/>
      <c r="AK56" s="1304"/>
      <c r="AL56" s="1304"/>
      <c r="AM56" s="1304"/>
      <c r="AN56" s="1304"/>
      <c r="AO56" s="1304"/>
      <c r="AP56" s="1304"/>
      <c r="AQ56" s="1304"/>
      <c r="AR56" s="1304"/>
      <c r="AS56" s="1304"/>
      <c r="AT56" s="1304"/>
      <c r="AU56" s="1305"/>
      <c r="AW56" s="426"/>
      <c r="AX56" s="426" t="str">
        <f t="shared" si="3"/>
        <v>Добавить группу потребителей</v>
      </c>
      <c r="AY56" s="426"/>
      <c r="AZ56" s="426"/>
    </row>
    <row r="57" spans="1:52" s="1819" customFormat="1" ht="0" hidden="1" customHeight="1">
      <c r="A57" s="1260" t="s">
        <v>197</v>
      </c>
      <c r="B57" s="1260" t="s">
        <v>198</v>
      </c>
      <c r="C57" s="1260" t="s">
        <v>199</v>
      </c>
      <c r="D57" s="1260" t="s">
        <v>200</v>
      </c>
      <c r="E57" s="2271"/>
      <c r="F57" s="2271"/>
      <c r="G57" s="2271"/>
      <c r="H57" s="2270"/>
      <c r="I57" s="1260"/>
      <c r="J57" s="1260"/>
      <c r="K57" s="1260"/>
      <c r="L57" s="1263"/>
      <c r="M57" s="1233"/>
      <c r="N57" s="1233"/>
      <c r="O57" s="444"/>
      <c r="P57" s="313"/>
      <c r="Q57" s="1261"/>
      <c r="R57" s="1316"/>
      <c r="S57" s="1302"/>
      <c r="T57" s="1303"/>
      <c r="U57" s="1304"/>
      <c r="V57" s="1304"/>
      <c r="W57" s="1304"/>
      <c r="X57" s="1304"/>
      <c r="Y57" s="1304"/>
      <c r="Z57" s="1304"/>
      <c r="AA57" s="1304"/>
      <c r="AB57" s="1304"/>
      <c r="AC57" s="1304"/>
      <c r="AD57" s="1304"/>
      <c r="AE57" s="1304"/>
      <c r="AF57" s="1304"/>
      <c r="AG57" s="1304"/>
      <c r="AH57" s="1304"/>
      <c r="AI57" s="1304"/>
      <c r="AJ57" s="1304"/>
      <c r="AK57" s="1304"/>
      <c r="AL57" s="1304"/>
      <c r="AM57" s="1304"/>
      <c r="AN57" s="1304"/>
      <c r="AO57" s="1304"/>
      <c r="AP57" s="1304"/>
      <c r="AQ57" s="1304"/>
      <c r="AR57" s="1304"/>
      <c r="AS57" s="1304"/>
      <c r="AT57" s="1304"/>
      <c r="AU57" s="1305"/>
      <c r="AV57" s="437"/>
      <c r="AW57" s="426"/>
      <c r="AX57" s="426" t="str">
        <f t="shared" si="3"/>
        <v/>
      </c>
      <c r="AY57" s="426"/>
      <c r="AZ57" s="426"/>
    </row>
    <row r="58" spans="1:52" s="1930" customFormat="1" ht="0" hidden="1" customHeight="1">
      <c r="A58" s="1260" t="s">
        <v>197</v>
      </c>
      <c r="B58" s="1260" t="s">
        <v>198</v>
      </c>
      <c r="C58" s="1260" t="s">
        <v>199</v>
      </c>
      <c r="D58" s="1232"/>
      <c r="E58" s="2271"/>
      <c r="F58" s="2271"/>
      <c r="G58" s="2270"/>
      <c r="H58" s="1232"/>
      <c r="I58" s="1232"/>
      <c r="J58" s="1232"/>
      <c r="K58" s="1232"/>
      <c r="L58" s="1256"/>
      <c r="M58" s="1233"/>
      <c r="N58" s="1233"/>
      <c r="P58" s="1234"/>
      <c r="Q58" s="1235"/>
      <c r="R58" s="1234"/>
      <c r="S58" s="1240"/>
      <c r="T58" s="1243" t="s">
        <v>405</v>
      </c>
      <c r="U58" s="1242"/>
      <c r="V58" s="1242"/>
      <c r="W58" s="1242"/>
      <c r="X58" s="1242"/>
      <c r="Y58" s="1242"/>
      <c r="Z58" s="1242"/>
      <c r="AA58" s="1242"/>
      <c r="AB58" s="1242"/>
      <c r="AC58" s="1242"/>
      <c r="AD58" s="1242"/>
      <c r="AE58" s="1242"/>
      <c r="AF58" s="1242"/>
      <c r="AG58" s="1242"/>
      <c r="AH58" s="1242"/>
      <c r="AI58" s="1242"/>
      <c r="AJ58" s="1242"/>
      <c r="AK58" s="1242"/>
      <c r="AL58" s="1242"/>
      <c r="AM58" s="1242"/>
      <c r="AN58" s="1242"/>
      <c r="AO58" s="1242"/>
      <c r="AP58" s="1242"/>
      <c r="AQ58" s="1242"/>
      <c r="AR58" s="1242"/>
      <c r="AS58" s="1242"/>
      <c r="AT58" s="1242"/>
      <c r="AU58" s="1242"/>
      <c r="AW58" s="706"/>
      <c r="AX58" s="706" t="str">
        <f t="shared" si="3"/>
        <v>Добавить источник для дифференциации</v>
      </c>
      <c r="AY58" s="706"/>
      <c r="AZ58" s="706"/>
    </row>
    <row r="59" spans="1:52" s="1930" customFormat="1" ht="0" hidden="1" customHeight="1">
      <c r="A59" s="1260" t="s">
        <v>197</v>
      </c>
      <c r="B59" s="1260" t="s">
        <v>198</v>
      </c>
      <c r="C59" s="1232"/>
      <c r="D59" s="1232"/>
      <c r="E59" s="2271"/>
      <c r="F59" s="2270"/>
      <c r="G59" s="1232"/>
      <c r="H59" s="1232"/>
      <c r="I59" s="1232"/>
      <c r="J59" s="1232"/>
      <c r="K59" s="1232"/>
      <c r="L59" s="1256"/>
      <c r="M59" s="1239"/>
      <c r="N59" s="1239"/>
      <c r="P59" s="1234"/>
      <c r="Q59" s="1235"/>
      <c r="R59" s="1234"/>
      <c r="S59" s="1240"/>
      <c r="T59" s="1243" t="s">
        <v>215</v>
      </c>
      <c r="U59" s="1242"/>
      <c r="V59" s="1242"/>
      <c r="W59" s="1242"/>
      <c r="X59" s="1242"/>
      <c r="Y59" s="1242"/>
      <c r="Z59" s="1242"/>
      <c r="AA59" s="1242"/>
      <c r="AB59" s="1242"/>
      <c r="AC59" s="1242"/>
      <c r="AD59" s="1242"/>
      <c r="AE59" s="1242"/>
      <c r="AF59" s="1242"/>
      <c r="AG59" s="1242"/>
      <c r="AH59" s="1242"/>
      <c r="AI59" s="1242"/>
      <c r="AJ59" s="1242"/>
      <c r="AK59" s="1242"/>
      <c r="AL59" s="1242"/>
      <c r="AM59" s="1242"/>
      <c r="AN59" s="1242"/>
      <c r="AO59" s="1242"/>
      <c r="AP59" s="1242"/>
      <c r="AQ59" s="1242"/>
      <c r="AR59" s="1242"/>
      <c r="AS59" s="1242"/>
      <c r="AT59" s="1242"/>
      <c r="AU59" s="1242"/>
      <c r="AW59" s="706"/>
      <c r="AX59" s="706" t="str">
        <f t="shared" si="3"/>
        <v>Добавить централизованную систему для дифференциации</v>
      </c>
      <c r="AY59" s="706"/>
      <c r="AZ59" s="706"/>
    </row>
    <row r="60" spans="1:52" s="1820" customFormat="1" ht="0" hidden="1" customHeight="1">
      <c r="A60" s="1260" t="s">
        <v>197</v>
      </c>
      <c r="B60" s="1260"/>
      <c r="C60" s="1260"/>
      <c r="D60" s="1260"/>
      <c r="E60" s="2271"/>
      <c r="F60" s="1260"/>
      <c r="G60" s="1260"/>
      <c r="H60" s="1260"/>
      <c r="I60" s="1260"/>
      <c r="J60" s="1260"/>
      <c r="K60" s="1260"/>
      <c r="L60" s="1263"/>
      <c r="M60" s="1239"/>
      <c r="N60" s="1239"/>
      <c r="O60" s="444"/>
      <c r="P60" s="313"/>
      <c r="Q60" s="1261"/>
      <c r="R60" s="313"/>
      <c r="S60" s="1240"/>
      <c r="T60" s="1243" t="s">
        <v>216</v>
      </c>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W60" s="426"/>
      <c r="AX60" s="426" t="str">
        <f t="shared" si="3"/>
        <v>Добавить территорию для дифференциации</v>
      </c>
      <c r="AY60" s="426"/>
      <c r="AZ60" s="426"/>
    </row>
    <row r="61" spans="1:52" s="1820" customFormat="1" ht="0" hidden="1" customHeight="1">
      <c r="A61" s="1260" t="s">
        <v>197</v>
      </c>
      <c r="B61" s="1260"/>
      <c r="C61" s="1260"/>
      <c r="D61" s="1260"/>
      <c r="E61" s="2270"/>
      <c r="F61" s="1260"/>
      <c r="G61" s="1260"/>
      <c r="H61" s="1260"/>
      <c r="I61" s="1260"/>
      <c r="J61" s="1260"/>
      <c r="K61" s="1260"/>
      <c r="L61" s="1263"/>
      <c r="M61" s="1239"/>
      <c r="N61" s="1239"/>
      <c r="O61" s="444"/>
      <c r="P61" s="313"/>
      <c r="Q61" s="1261"/>
      <c r="R61" s="313"/>
      <c r="S61" s="1240"/>
      <c r="T61" s="1243" t="s">
        <v>216</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W61" s="426"/>
      <c r="AX61" s="426" t="str">
        <f t="shared" si="3"/>
        <v>Добавить территорию для дифференциации</v>
      </c>
      <c r="AY61" s="426"/>
      <c r="AZ61" s="426"/>
    </row>
    <row r="62" spans="1:52" s="1930" customFormat="1" ht="0" hidden="1" customHeight="1">
      <c r="A62" s="1232"/>
      <c r="B62" s="1232"/>
      <c r="C62" s="1232"/>
      <c r="D62" s="1232"/>
      <c r="E62" s="1260"/>
      <c r="F62" s="1232"/>
      <c r="G62" s="1232"/>
      <c r="H62" s="1232"/>
      <c r="I62" s="1232"/>
      <c r="J62" s="1232"/>
      <c r="K62" s="1232"/>
      <c r="L62" s="1256"/>
      <c r="M62" s="1239"/>
      <c r="N62" s="1239"/>
      <c r="P62" s="1234"/>
      <c r="Q62" s="1235"/>
      <c r="R62" s="1234"/>
      <c r="S62" s="1240"/>
      <c r="T62" s="1243" t="s">
        <v>217</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W62" s="706"/>
      <c r="AX62" s="706" t="str">
        <f t="shared" si="3"/>
        <v>Добавить наименование тарифа</v>
      </c>
      <c r="AY62" s="706"/>
      <c r="AZ62" s="706"/>
    </row>
    <row r="63" spans="1:52" ht="11.25" customHeight="1">
      <c r="M63" s="1060"/>
      <c r="N63" s="1060"/>
      <c r="O63" s="462"/>
      <c r="P63" s="1060"/>
      <c r="Q63" s="1060"/>
      <c r="R63" s="1055"/>
      <c r="S63" s="1055"/>
      <c r="AV63" s="1055"/>
      <c r="AW63" s="1055"/>
      <c r="AX63" s="1055"/>
      <c r="AY63" s="1055"/>
      <c r="AZ63" s="1055"/>
    </row>
    <row r="64" spans="1:52" ht="18.75" customHeight="1">
      <c r="O64" s="462"/>
      <c r="S64" s="1164"/>
      <c r="T64" s="2290"/>
      <c r="U64" s="2290"/>
      <c r="V64" s="2290"/>
      <c r="W64" s="2290"/>
      <c r="X64" s="2290"/>
      <c r="Y64" s="2290"/>
      <c r="Z64" s="2290"/>
      <c r="AA64" s="2290"/>
      <c r="AB64" s="2290"/>
      <c r="AC64" s="2290"/>
      <c r="AD64" s="2290"/>
      <c r="AE64" s="2290"/>
      <c r="AF64" s="2290"/>
      <c r="AG64" s="2290"/>
      <c r="AH64" s="2290"/>
      <c r="AI64" s="2290"/>
      <c r="AJ64" s="2290"/>
      <c r="AK64" s="2290"/>
      <c r="AL64" s="2290"/>
      <c r="AM64" s="2290"/>
      <c r="AN64" s="2290"/>
      <c r="AO64" s="2290"/>
      <c r="AP64" s="2290"/>
      <c r="AQ64" s="2290"/>
      <c r="AR64" s="2290"/>
      <c r="AS64" s="2290"/>
      <c r="AT64" s="2290"/>
      <c r="AU64" s="2290"/>
    </row>
    <row r="65" spans="15:47" ht="19.5" customHeight="1">
      <c r="O65" s="462"/>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row>
    <row r="66" spans="15:47" ht="14.25" customHeight="1">
      <c r="O66" s="462"/>
      <c r="T66" s="1250"/>
      <c r="U66" s="1250"/>
      <c r="V66" s="1250"/>
      <c r="W66" s="1250"/>
      <c r="X66" s="1250"/>
      <c r="Y66" s="1250"/>
      <c r="Z66" s="1250"/>
      <c r="AA66" s="1250"/>
      <c r="AB66" s="1250"/>
      <c r="AC66" s="1250"/>
      <c r="AD66" s="1250"/>
      <c r="AE66" s="1250"/>
      <c r="AF66" s="1250"/>
      <c r="AG66" s="1250"/>
      <c r="AH66" s="1250"/>
      <c r="AI66" s="1250"/>
      <c r="AJ66" s="1250"/>
      <c r="AK66" s="1250"/>
      <c r="AL66" s="1250"/>
      <c r="AM66" s="1250"/>
      <c r="AN66" s="1250"/>
      <c r="AO66" s="1250"/>
      <c r="AP66" s="1250"/>
      <c r="AQ66" s="1250"/>
      <c r="AR66" s="1250"/>
      <c r="AS66" s="1250"/>
      <c r="AT66" s="1250"/>
      <c r="AU66" s="1250"/>
    </row>
    <row r="67" spans="15:47" ht="18.75" customHeight="1">
      <c r="O67" s="462"/>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row>
    <row r="68" spans="15:47" ht="15.75" customHeight="1">
      <c r="O68" s="462"/>
      <c r="T68" s="2290"/>
      <c r="U68" s="2290"/>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R68" s="2290"/>
      <c r="AS68" s="2290"/>
      <c r="AT68" s="2290"/>
      <c r="AU68" s="2290"/>
    </row>
    <row r="69" spans="15:47" ht="14.25" customHeight="1">
      <c r="O69" s="462"/>
    </row>
  </sheetData>
  <sheetProtection formatColumns="0" formatRows="0" insertRows="0" deleteColumns="0" deleteRows="0" sort="0" autoFilter="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xr:uid="{00000000-0002-0000-1100-000000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100-000001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100-000002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100-000003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100-000004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100-000005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100-000006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100-000007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1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E2458-8C6A-D11C-4D49-33293869683A}">
  <sheetPr>
    <tabColor theme="6" tint="0.39997558519241921"/>
  </sheetPr>
  <dimension ref="A1:AW57"/>
  <sheetViews>
    <sheetView showGridLines="0" topLeftCell="P23" workbookViewId="0">
      <selection activeCell="AH59" sqref="AH59"/>
    </sheetView>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4.140625" style="1931" hidden="1" customWidth="1"/>
    <col min="10" max="10" width="9.85546875" style="1931" hidden="1" customWidth="1"/>
    <col min="11" max="11" width="14.7109375" style="1931" hidden="1" customWidth="1"/>
    <col min="12" max="12" width="19.140625" style="1972" hidden="1" customWidth="1"/>
    <col min="13" max="14" width="12.28515625" style="1933" hidden="1" customWidth="1"/>
    <col min="15" max="15" width="23.42578125" style="1933" hidden="1" customWidth="1"/>
    <col min="16" max="16" width="3.7109375" style="2004" customWidth="1"/>
    <col min="17" max="18" width="3.7109375" style="1939" customWidth="1"/>
    <col min="19" max="19" width="12.7109375" style="1940" customWidth="1"/>
    <col min="20" max="20" width="35.7109375" style="1905" customWidth="1"/>
    <col min="21" max="21" width="0.140625" style="1905" customWidth="1"/>
    <col min="22" max="24" width="24.7109375" style="1905" hidden="1" customWidth="1"/>
    <col min="25" max="25" width="11.7109375" style="1905" hidden="1" customWidth="1"/>
    <col min="26" max="26" width="3.7109375" style="1905" hidden="1" customWidth="1"/>
    <col min="27" max="27" width="11.7109375" style="1905" hidden="1" customWidth="1"/>
    <col min="28" max="28" width="8.5703125" style="1905" hidden="1" customWidth="1"/>
    <col min="29" max="29" width="24.7109375" style="1905" customWidth="1"/>
    <col min="30" max="30" width="14.5703125" style="1905" customWidth="1"/>
    <col min="31" max="31" width="13" style="1905" customWidth="1"/>
    <col min="32" max="32" width="11.7109375" style="1905" customWidth="1"/>
    <col min="33" max="33" width="3.7109375" style="1905" customWidth="1"/>
    <col min="34" max="34" width="13" style="1905" customWidth="1"/>
    <col min="35" max="35" width="8.5703125" style="1905" customWidth="1"/>
    <col min="41" max="41" width="14.85546875" customWidth="1"/>
    <col min="42" max="42" width="10.5703125" hidden="1"/>
    <col min="43" max="43" width="4.7109375" style="1905" customWidth="1"/>
    <col min="44" max="44" width="115.7109375" style="1905" customWidth="1"/>
    <col min="45" max="46" width="10.5703125" style="1820"/>
    <col min="47" max="47" width="11.140625" style="1820" customWidth="1"/>
    <col min="48" max="49" width="10.5703125" style="1820"/>
  </cols>
  <sheetData>
    <row r="1" spans="1:49" ht="14.25" hidden="1" customHeight="1">
      <c r="X1" s="253"/>
      <c r="Y1" s="253"/>
      <c r="AE1" s="253"/>
      <c r="AF1" s="253"/>
      <c r="AJ1" s="1945"/>
      <c r="AK1" s="1945"/>
      <c r="AL1" s="1945"/>
      <c r="AM1" s="1945"/>
      <c r="AN1" s="1945"/>
      <c r="AO1" s="1945"/>
      <c r="AP1" s="1945"/>
    </row>
    <row r="2" spans="1:49" ht="23.25" hidden="1" customHeight="1">
      <c r="A2" s="1279"/>
      <c r="B2" s="1279"/>
      <c r="C2" s="1279"/>
      <c r="D2" s="1279"/>
      <c r="E2" s="2270">
        <v>1</v>
      </c>
      <c r="F2" s="1279"/>
      <c r="G2" s="1279"/>
      <c r="H2" s="1279"/>
      <c r="I2" s="1279"/>
      <c r="J2" s="1279"/>
      <c r="K2" s="1279"/>
      <c r="L2" s="1280"/>
      <c r="M2" s="1281"/>
      <c r="N2" s="1281"/>
      <c r="O2" s="1281"/>
      <c r="P2" s="286"/>
      <c r="Q2" s="285"/>
      <c r="R2" s="280"/>
      <c r="S2" s="1340" t="e">
        <f>INDEX(PT_DIFFERENTIATION_NUM_NTAR,MATCH(A2,PT_DIFFERENTIATION_NTAR_ID,0))</f>
        <v>#N/A</v>
      </c>
      <c r="T2" s="216" t="s">
        <v>122</v>
      </c>
      <c r="U2" s="218"/>
      <c r="V2" s="2256"/>
      <c r="W2" s="2257"/>
      <c r="X2" s="2257"/>
      <c r="Y2" s="2257"/>
      <c r="Z2" s="2257"/>
      <c r="AA2" s="2257"/>
      <c r="AB2" s="2258"/>
      <c r="AC2" s="2256" t="e">
        <f>INDEX(PT_DIFFERENTIATION_NTAR,MATCH(A2,PT_DIFFERENTIATION_NTAR_ID,0))</f>
        <v>#N/A</v>
      </c>
      <c r="AD2" s="2257"/>
      <c r="AE2" s="2257"/>
      <c r="AF2" s="2257"/>
      <c r="AG2" s="2257"/>
      <c r="AH2" s="2257"/>
      <c r="AI2" s="2257"/>
      <c r="AJ2" s="2256"/>
      <c r="AK2" s="2257"/>
      <c r="AL2" s="2257"/>
      <c r="AM2" s="2257"/>
      <c r="AN2" s="2257"/>
      <c r="AO2" s="2257"/>
      <c r="AP2" s="2258"/>
      <c r="AQ2" s="2258"/>
      <c r="AR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2" s="426"/>
      <c r="AU2" s="426" t="str">
        <f t="shared" ref="AU2:AU13" si="0">IF(T2="","",T2)</f>
        <v>Наименование тарифа</v>
      </c>
      <c r="AV2" s="426"/>
      <c r="AW2" s="426"/>
    </row>
    <row r="3" spans="1:49" ht="23.25" hidden="1" customHeight="1">
      <c r="A3" s="1279"/>
      <c r="B3" s="1279"/>
      <c r="C3" s="1279"/>
      <c r="D3" s="1279"/>
      <c r="E3" s="2271"/>
      <c r="F3" s="2270">
        <v>1</v>
      </c>
      <c r="G3" s="1279"/>
      <c r="H3" s="1279"/>
      <c r="I3" s="1279"/>
      <c r="J3" s="1279"/>
      <c r="K3" s="1279"/>
      <c r="L3" s="1280"/>
      <c r="M3" s="1281"/>
      <c r="N3" s="1281"/>
      <c r="O3" s="1281"/>
      <c r="P3" s="1338"/>
      <c r="Q3" s="277"/>
      <c r="R3" s="278"/>
      <c r="S3" s="1340" t="e">
        <f>INDEX(PT_DIFFERENTIATION_NUM_TER,MATCH(B3,PT_DIFFERENTIATION_TER_ID,0))</f>
        <v>#N/A</v>
      </c>
      <c r="T3" s="228" t="s">
        <v>388</v>
      </c>
      <c r="U3" s="218"/>
      <c r="V3" s="2256"/>
      <c r="W3" s="2257"/>
      <c r="X3" s="2257"/>
      <c r="Y3" s="2257"/>
      <c r="Z3" s="2257"/>
      <c r="AA3" s="2257"/>
      <c r="AB3" s="2258"/>
      <c r="AC3" s="2256" t="e">
        <f>INDEX(PT_DIFFERENTIATION_TER,MATCH(B3,PT_DIFFERENTIATION_TER_ID,0))</f>
        <v>#N/A</v>
      </c>
      <c r="AD3" s="2257"/>
      <c r="AE3" s="2257"/>
      <c r="AF3" s="2257"/>
      <c r="AG3" s="2257"/>
      <c r="AH3" s="2257"/>
      <c r="AI3" s="2257"/>
      <c r="AJ3" s="2256"/>
      <c r="AK3" s="2257"/>
      <c r="AL3" s="2257"/>
      <c r="AM3" s="2257"/>
      <c r="AN3" s="2257"/>
      <c r="AO3" s="2257"/>
      <c r="AP3" s="2258"/>
      <c r="AQ3" s="2258"/>
      <c r="AR3" s="1177" t="s">
        <v>389</v>
      </c>
      <c r="AT3" s="426"/>
      <c r="AU3" s="426" t="str">
        <f t="shared" si="0"/>
        <v>Территория действия тарифа</v>
      </c>
      <c r="AV3" s="426"/>
      <c r="AW3" s="426"/>
    </row>
    <row r="4" spans="1:49" ht="23.25" hidden="1" customHeight="1">
      <c r="A4" s="1279"/>
      <c r="B4" s="1279"/>
      <c r="C4" s="1279"/>
      <c r="D4" s="1279"/>
      <c r="E4" s="2271"/>
      <c r="F4" s="2271"/>
      <c r="G4" s="2270">
        <v>1</v>
      </c>
      <c r="H4" s="1279"/>
      <c r="I4" s="1279"/>
      <c r="J4" s="1279"/>
      <c r="K4" s="1279"/>
      <c r="L4" s="1280"/>
      <c r="M4" s="1281"/>
      <c r="N4" s="1281"/>
      <c r="O4" s="1281"/>
      <c r="P4" s="279"/>
      <c r="Q4" s="277"/>
      <c r="R4" s="278"/>
      <c r="S4" s="1340" t="e">
        <f>INDEX(PT_DIFFERENTIATION_NUM_CS,MATCH(C4,PT_DIFFERENTIATION_CS_ID,0))</f>
        <v>#N/A</v>
      </c>
      <c r="T4" s="229" t="s">
        <v>469</v>
      </c>
      <c r="U4" s="218"/>
      <c r="V4" s="2256"/>
      <c r="W4" s="2257"/>
      <c r="X4" s="2257"/>
      <c r="Y4" s="2257"/>
      <c r="Z4" s="2257"/>
      <c r="AA4" s="2257"/>
      <c r="AB4" s="2258"/>
      <c r="AC4" s="2256" t="e">
        <f>INDEX(PT_DIFFERENTIATION_CS,MATCH(C4,PT_DIFFERENTIATION_CS_ID,0))</f>
        <v>#N/A</v>
      </c>
      <c r="AD4" s="2257"/>
      <c r="AE4" s="2257"/>
      <c r="AF4" s="2257"/>
      <c r="AG4" s="2257"/>
      <c r="AH4" s="2257"/>
      <c r="AI4" s="2257"/>
      <c r="AJ4" s="2256"/>
      <c r="AK4" s="2257"/>
      <c r="AL4" s="2257"/>
      <c r="AM4" s="2257"/>
      <c r="AN4" s="2257"/>
      <c r="AO4" s="2257"/>
      <c r="AP4" s="2258"/>
      <c r="AQ4" s="2258"/>
      <c r="AR4" s="1177" t="s">
        <v>470</v>
      </c>
      <c r="AT4" s="426"/>
      <c r="AU4" s="426" t="str">
        <f t="shared" si="0"/>
        <v>Наименование централизованной системы холодного водоснабжения</v>
      </c>
      <c r="AV4" s="426"/>
      <c r="AW4" s="426"/>
    </row>
    <row r="5" spans="1:49" ht="23.25" hidden="1" customHeight="1">
      <c r="A5" s="1279"/>
      <c r="B5" s="1279"/>
      <c r="C5" s="1279"/>
      <c r="D5" s="1279"/>
      <c r="E5" s="2271"/>
      <c r="F5" s="2271"/>
      <c r="G5" s="2271"/>
      <c r="H5" s="2271"/>
      <c r="I5" s="2268" t="e">
        <f>S4&amp;".1"</f>
        <v>#N/A</v>
      </c>
      <c r="J5" s="1279"/>
      <c r="K5" s="1279"/>
      <c r="L5" s="1280"/>
      <c r="P5" s="2269">
        <v>1</v>
      </c>
      <c r="Q5" s="1337"/>
      <c r="R5" s="281"/>
      <c r="S5" s="1340" t="e">
        <f>$I5</f>
        <v>#N/A</v>
      </c>
      <c r="T5" s="203" t="s">
        <v>471</v>
      </c>
      <c r="U5" s="218"/>
      <c r="V5" s="2329"/>
      <c r="W5" s="2330"/>
      <c r="X5" s="2330"/>
      <c r="Y5" s="2330"/>
      <c r="Z5" s="2330"/>
      <c r="AA5" s="2330"/>
      <c r="AB5" s="2331"/>
      <c r="AC5" s="2332"/>
      <c r="AD5" s="2333"/>
      <c r="AE5" s="2333"/>
      <c r="AF5" s="2333"/>
      <c r="AG5" s="2333"/>
      <c r="AH5" s="2333"/>
      <c r="AI5" s="2333"/>
      <c r="AJ5" s="2329"/>
      <c r="AK5" s="2330"/>
      <c r="AL5" s="2330"/>
      <c r="AM5" s="2330"/>
      <c r="AN5" s="2330"/>
      <c r="AO5" s="2330"/>
      <c r="AP5" s="2331"/>
      <c r="AQ5" s="2334"/>
      <c r="AR5" s="1177" t="s">
        <v>472</v>
      </c>
      <c r="AT5" s="426"/>
      <c r="AU5" s="426" t="str">
        <f t="shared" si="0"/>
        <v>Наименование признака дифференциации</v>
      </c>
      <c r="AV5" s="426"/>
      <c r="AW5" s="426"/>
    </row>
    <row r="6" spans="1:49" ht="23.25" hidden="1" customHeight="1">
      <c r="A6" s="1279"/>
      <c r="B6" s="1279"/>
      <c r="C6" s="1279"/>
      <c r="D6" s="1279"/>
      <c r="E6" s="2271"/>
      <c r="F6" s="2271"/>
      <c r="G6" s="2271"/>
      <c r="H6" s="2271"/>
      <c r="I6" s="2291"/>
      <c r="J6" s="2268" t="e">
        <f>I5&amp;".1"</f>
        <v>#N/A</v>
      </c>
      <c r="K6" s="1279"/>
      <c r="L6" s="1280" t="s">
        <v>397</v>
      </c>
      <c r="P6" s="2269"/>
      <c r="Q6" s="2269">
        <v>1</v>
      </c>
      <c r="R6" s="282"/>
      <c r="S6" s="1340" t="e">
        <f>$J6</f>
        <v>#N/A</v>
      </c>
      <c r="T6" s="204" t="s">
        <v>398</v>
      </c>
      <c r="U6" s="218"/>
      <c r="V6" s="2259"/>
      <c r="W6" s="2260"/>
      <c r="X6" s="2260"/>
      <c r="Y6" s="2260"/>
      <c r="Z6" s="2260"/>
      <c r="AA6" s="2260"/>
      <c r="AB6" s="2261"/>
      <c r="AC6" s="2259"/>
      <c r="AD6" s="2260"/>
      <c r="AE6" s="2260"/>
      <c r="AF6" s="2260"/>
      <c r="AG6" s="2260"/>
      <c r="AH6" s="2260"/>
      <c r="AI6" s="2260"/>
      <c r="AJ6" s="2259"/>
      <c r="AK6" s="2260"/>
      <c r="AL6" s="2260"/>
      <c r="AM6" s="2260"/>
      <c r="AN6" s="2260"/>
      <c r="AO6" s="2260"/>
      <c r="AP6" s="2261"/>
      <c r="AQ6" s="2261"/>
      <c r="AR6" s="1226" t="s">
        <v>473</v>
      </c>
      <c r="AT6" s="426"/>
      <c r="AU6" s="426" t="str">
        <f t="shared" si="0"/>
        <v>Группа потребителей</v>
      </c>
      <c r="AV6" s="426"/>
      <c r="AW6" s="426"/>
    </row>
    <row r="7" spans="1:49" ht="23.25" hidden="1" customHeight="1">
      <c r="A7" s="1279"/>
      <c r="B7" s="1279"/>
      <c r="C7" s="1279"/>
      <c r="D7" s="1279"/>
      <c r="E7" s="2271"/>
      <c r="F7" s="2271"/>
      <c r="G7" s="2271"/>
      <c r="H7" s="2271"/>
      <c r="I7" s="2291"/>
      <c r="J7" s="2291"/>
      <c r="K7" s="2268" t="e">
        <f>J6&amp;".1"</f>
        <v>#N/A</v>
      </c>
      <c r="L7" s="1280"/>
      <c r="P7" s="2269"/>
      <c r="Q7" s="2269"/>
      <c r="R7" s="282">
        <v>1</v>
      </c>
      <c r="S7" s="1340" t="e">
        <f>$K7</f>
        <v>#N/A</v>
      </c>
      <c r="T7" s="1352"/>
      <c r="U7" s="218"/>
      <c r="V7" s="668"/>
      <c r="W7" s="668"/>
      <c r="X7" s="1176"/>
      <c r="Y7" s="2273"/>
      <c r="Z7" s="2124" t="s">
        <v>61</v>
      </c>
      <c r="AA7" s="2273"/>
      <c r="AB7" s="2124" t="s">
        <v>61</v>
      </c>
      <c r="AC7" s="668"/>
      <c r="AD7" s="668"/>
      <c r="AE7" s="1176"/>
      <c r="AF7" s="2273"/>
      <c r="AG7" s="2124" t="s">
        <v>61</v>
      </c>
      <c r="AH7" s="2292"/>
      <c r="AI7" s="2124" t="s">
        <v>61</v>
      </c>
      <c r="AJ7" s="1946"/>
      <c r="AK7" s="1946"/>
      <c r="AL7" s="1947"/>
      <c r="AM7" s="2273"/>
      <c r="AN7" s="2124" t="s">
        <v>61</v>
      </c>
      <c r="AO7" s="2273"/>
      <c r="AP7" s="2124" t="s">
        <v>61</v>
      </c>
      <c r="AQ7" s="1353"/>
      <c r="AR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 s="437" t="e">
        <f ca="1">STRCHECKDATE(V8:AQ8)</f>
        <v>#NAME?</v>
      </c>
      <c r="AT7" s="426"/>
      <c r="AU7" s="426" t="str">
        <f t="shared" si="0"/>
        <v/>
      </c>
      <c r="AV7" s="426"/>
      <c r="AW7" s="426"/>
    </row>
    <row r="8" spans="1:49" ht="14.25" hidden="1" customHeight="1">
      <c r="A8" s="1279"/>
      <c r="B8" s="1279"/>
      <c r="C8" s="1279"/>
      <c r="D8" s="1279"/>
      <c r="E8" s="2271"/>
      <c r="F8" s="2271"/>
      <c r="G8" s="2271"/>
      <c r="H8" s="2271"/>
      <c r="I8" s="2291"/>
      <c r="J8" s="2291"/>
      <c r="K8" s="2268"/>
      <c r="L8" s="1280"/>
      <c r="P8" s="2269"/>
      <c r="Q8" s="2269"/>
      <c r="R8" s="282"/>
      <c r="S8" s="1339"/>
      <c r="T8" s="218"/>
      <c r="U8" s="218"/>
      <c r="V8" s="250"/>
      <c r="W8" s="250"/>
      <c r="X8" s="254" t="str">
        <f>Y7&amp;"-"&amp;AA7</f>
        <v>-</v>
      </c>
      <c r="Y8" s="2274"/>
      <c r="Z8" s="2124"/>
      <c r="AA8" s="2274"/>
      <c r="AB8" s="2124"/>
      <c r="AC8" s="250"/>
      <c r="AD8" s="250"/>
      <c r="AE8" s="254" t="str">
        <f>AF7&amp;"-"&amp;AH7</f>
        <v>-</v>
      </c>
      <c r="AF8" s="2274"/>
      <c r="AG8" s="2124"/>
      <c r="AH8" s="2293"/>
      <c r="AI8" s="2124"/>
      <c r="AJ8" s="1948"/>
      <c r="AK8" s="1948"/>
      <c r="AL8" s="1949" t="str">
        <f>AM7&amp;"-"&amp;AO7</f>
        <v>-</v>
      </c>
      <c r="AM8" s="2274"/>
      <c r="AN8" s="2124"/>
      <c r="AO8" s="2274"/>
      <c r="AP8" s="2124"/>
      <c r="AQ8" s="1354"/>
      <c r="AR8" s="2328"/>
      <c r="AT8" s="426"/>
      <c r="AU8" s="426" t="str">
        <f t="shared" si="0"/>
        <v/>
      </c>
      <c r="AV8" s="426"/>
      <c r="AW8" s="426"/>
    </row>
    <row r="9" spans="1:49" ht="21" hidden="1" customHeight="1">
      <c r="A9" s="1279"/>
      <c r="B9" s="1279"/>
      <c r="C9" s="1279"/>
      <c r="D9" s="1279"/>
      <c r="E9" s="2271"/>
      <c r="F9" s="2271"/>
      <c r="G9" s="2271"/>
      <c r="H9" s="2271"/>
      <c r="I9" s="2291"/>
      <c r="J9" s="2268"/>
      <c r="K9" s="1279"/>
      <c r="L9" s="1280"/>
      <c r="P9" s="2269"/>
      <c r="Q9" s="2269"/>
      <c r="R9" s="281"/>
      <c r="S9" s="1198"/>
      <c r="T9" s="205" t="s">
        <v>474</v>
      </c>
      <c r="U9" s="295"/>
      <c r="V9" s="295"/>
      <c r="W9" s="295"/>
      <c r="X9" s="295"/>
      <c r="Y9" s="295"/>
      <c r="Z9" s="295"/>
      <c r="AA9" s="295"/>
      <c r="AB9" s="295"/>
      <c r="AC9" s="295"/>
      <c r="AD9" s="295"/>
      <c r="AE9" s="295"/>
      <c r="AF9" s="295"/>
      <c r="AG9" s="295"/>
      <c r="AH9" s="295"/>
      <c r="AI9" s="295"/>
      <c r="AJ9" s="1950"/>
      <c r="AK9" s="1951"/>
      <c r="AL9" s="1952"/>
      <c r="AM9" s="1953"/>
      <c r="AN9" s="1954"/>
      <c r="AO9" s="1955"/>
      <c r="AP9" s="1956"/>
      <c r="AQ9" s="295"/>
      <c r="AR9" s="1177" t="s">
        <v>475</v>
      </c>
      <c r="AT9" s="426"/>
      <c r="AU9" s="426" t="str">
        <f t="shared" si="0"/>
        <v>Добавить значение признака дифференциации</v>
      </c>
      <c r="AV9" s="426"/>
      <c r="AW9" s="426"/>
    </row>
    <row r="10" spans="1:49" ht="21" hidden="1" customHeight="1">
      <c r="A10" s="1279"/>
      <c r="B10" s="1279"/>
      <c r="C10" s="1279"/>
      <c r="D10" s="1279"/>
      <c r="E10" s="2271"/>
      <c r="F10" s="2271"/>
      <c r="G10" s="2271"/>
      <c r="H10" s="2271"/>
      <c r="I10" s="2268"/>
      <c r="J10" s="1279"/>
      <c r="K10" s="1279"/>
      <c r="L10" s="1280"/>
      <c r="P10" s="2269"/>
      <c r="Q10" s="1337"/>
      <c r="R10" s="281"/>
      <c r="S10" s="1198"/>
      <c r="T10" s="292" t="s">
        <v>403</v>
      </c>
      <c r="U10" s="295"/>
      <c r="V10" s="295"/>
      <c r="W10" s="295"/>
      <c r="X10" s="295"/>
      <c r="Y10" s="295"/>
      <c r="Z10" s="295"/>
      <c r="AA10" s="295"/>
      <c r="AB10" s="294"/>
      <c r="AC10" s="295"/>
      <c r="AD10" s="295"/>
      <c r="AE10" s="295"/>
      <c r="AF10" s="295"/>
      <c r="AG10" s="295"/>
      <c r="AH10" s="295"/>
      <c r="AI10" s="294"/>
      <c r="AJ10" s="1957"/>
      <c r="AK10" s="1958"/>
      <c r="AL10" s="1959"/>
      <c r="AM10" s="1960"/>
      <c r="AN10" s="1961"/>
      <c r="AO10" s="1962"/>
      <c r="AP10" s="1963"/>
      <c r="AQ10" s="295"/>
      <c r="AR10" s="1355"/>
      <c r="AT10" s="426"/>
      <c r="AU10" s="426" t="str">
        <f t="shared" si="0"/>
        <v>Добавить группу потребителей</v>
      </c>
      <c r="AV10" s="426"/>
      <c r="AW10" s="426"/>
    </row>
    <row r="11" spans="1:49" ht="14.25" hidden="1" customHeight="1">
      <c r="A11" s="1279"/>
      <c r="B11" s="1279"/>
      <c r="C11" s="1279"/>
      <c r="D11" s="1279"/>
      <c r="E11" s="2271"/>
      <c r="F11" s="2271"/>
      <c r="G11" s="2271"/>
      <c r="H11" s="2270"/>
      <c r="I11" s="1279"/>
      <c r="J11" s="1279"/>
      <c r="K11" s="1279"/>
      <c r="L11" s="1280"/>
      <c r="M11" s="1281"/>
      <c r="N11" s="1281"/>
      <c r="O11" s="462"/>
      <c r="P11" s="285"/>
      <c r="Q11" s="304"/>
      <c r="R11" s="280"/>
      <c r="S11" s="1198"/>
      <c r="T11" s="300" t="s">
        <v>476</v>
      </c>
      <c r="U11" s="295"/>
      <c r="V11" s="295"/>
      <c r="W11" s="295"/>
      <c r="X11" s="295"/>
      <c r="Y11" s="295"/>
      <c r="Z11" s="295"/>
      <c r="AA11" s="295"/>
      <c r="AB11" s="294"/>
      <c r="AC11" s="295"/>
      <c r="AD11" s="295"/>
      <c r="AE11" s="295"/>
      <c r="AF11" s="295"/>
      <c r="AG11" s="295"/>
      <c r="AH11" s="295"/>
      <c r="AI11" s="294"/>
      <c r="AJ11" s="1964"/>
      <c r="AK11" s="1965"/>
      <c r="AL11" s="1966"/>
      <c r="AM11" s="1967"/>
      <c r="AN11" s="1968"/>
      <c r="AO11" s="1969"/>
      <c r="AP11" s="1970"/>
      <c r="AQ11" s="295"/>
      <c r="AR11" s="221"/>
      <c r="AT11" s="426"/>
      <c r="AU11" s="426" t="str">
        <f t="shared" si="0"/>
        <v>Добавить наименование признака дифференциации</v>
      </c>
      <c r="AV11" s="426"/>
      <c r="AW11" s="426"/>
    </row>
    <row r="12" spans="1:49" s="1930" customFormat="1" ht="14.25" hidden="1" customHeight="1">
      <c r="A12" s="1260"/>
      <c r="B12" s="1260"/>
      <c r="C12" s="1232"/>
      <c r="D12" s="1232"/>
      <c r="E12" s="2271"/>
      <c r="F12" s="2270"/>
      <c r="G12" s="1232"/>
      <c r="H12" s="1232"/>
      <c r="I12" s="1232"/>
      <c r="J12" s="1232"/>
      <c r="K12" s="1232"/>
      <c r="L12" s="1341"/>
      <c r="M12" s="1239"/>
      <c r="N12" s="1239"/>
      <c r="P12" s="1234"/>
      <c r="Q12" s="1235"/>
      <c r="R12" s="1234"/>
      <c r="S12" s="1240"/>
      <c r="T12" s="1243" t="s">
        <v>215</v>
      </c>
      <c r="U12" s="1242"/>
      <c r="V12" s="1242"/>
      <c r="W12" s="1242"/>
      <c r="X12" s="1242"/>
      <c r="Y12" s="1242"/>
      <c r="Z12" s="1242"/>
      <c r="AA12" s="1242"/>
      <c r="AB12" s="1242"/>
      <c r="AC12" s="1242"/>
      <c r="AD12" s="1242"/>
      <c r="AE12" s="1242"/>
      <c r="AF12" s="1242"/>
      <c r="AG12" s="1242"/>
      <c r="AH12" s="1242"/>
      <c r="AI12" s="1242"/>
      <c r="AJ12" s="1971"/>
      <c r="AK12" s="1971"/>
      <c r="AL12" s="1971"/>
      <c r="AM12" s="1971"/>
      <c r="AN12" s="1971"/>
      <c r="AO12" s="1971"/>
      <c r="AP12" s="1971"/>
      <c r="AQ12" s="1242"/>
      <c r="AR12" s="1242"/>
      <c r="AT12" s="706"/>
      <c r="AU12" s="706" t="str">
        <f t="shared" si="0"/>
        <v>Добавить централизованную систему для дифференциации</v>
      </c>
      <c r="AV12" s="706"/>
      <c r="AW12" s="706"/>
    </row>
    <row r="13" spans="1:49" s="1820" customFormat="1" ht="14.25" hidden="1" customHeight="1">
      <c r="A13" s="1260"/>
      <c r="B13" s="1260"/>
      <c r="C13" s="1260"/>
      <c r="D13" s="1260"/>
      <c r="E13" s="2270"/>
      <c r="F13" s="1260"/>
      <c r="G13" s="1260"/>
      <c r="H13" s="1260"/>
      <c r="I13" s="1260"/>
      <c r="J13" s="1260"/>
      <c r="K13" s="1260"/>
      <c r="L13" s="1263"/>
      <c r="M13" s="1239"/>
      <c r="N13" s="1239"/>
      <c r="O13" s="444"/>
      <c r="P13" s="313"/>
      <c r="Q13" s="1261"/>
      <c r="R13" s="313"/>
      <c r="S13" s="1240"/>
      <c r="T13" s="1243" t="s">
        <v>216</v>
      </c>
      <c r="U13" s="1242"/>
      <c r="V13" s="1242"/>
      <c r="W13" s="1242"/>
      <c r="X13" s="1242"/>
      <c r="Y13" s="1242"/>
      <c r="Z13" s="1242"/>
      <c r="AA13" s="1242"/>
      <c r="AB13" s="1242"/>
      <c r="AC13" s="1242"/>
      <c r="AD13" s="1242"/>
      <c r="AE13" s="1242"/>
      <c r="AF13" s="1242"/>
      <c r="AG13" s="1242"/>
      <c r="AH13" s="1242"/>
      <c r="AI13" s="1242"/>
      <c r="AJ13" s="1971"/>
      <c r="AK13" s="1971"/>
      <c r="AL13" s="1971"/>
      <c r="AM13" s="1971"/>
      <c r="AN13" s="1971"/>
      <c r="AO13" s="1971"/>
      <c r="AP13" s="1971"/>
      <c r="AQ13" s="1242"/>
      <c r="AR13" s="1242"/>
      <c r="AT13" s="426"/>
      <c r="AU13" s="426" t="str">
        <f t="shared" si="0"/>
        <v>Добавить территорию для дифференциации</v>
      </c>
      <c r="AV13" s="426"/>
      <c r="AW13" s="426"/>
    </row>
    <row r="14" spans="1:49" ht="14.25" hidden="1" customHeight="1">
      <c r="AB14" s="253"/>
      <c r="AI14" s="253"/>
      <c r="AJ14" s="1945"/>
      <c r="AK14" s="1945"/>
      <c r="AL14" s="1945"/>
      <c r="AM14" s="1945"/>
      <c r="AN14" s="1945"/>
      <c r="AO14" s="1945"/>
      <c r="AP14" s="1945"/>
    </row>
    <row r="15" spans="1:49" ht="14.25" hidden="1" customHeight="1">
      <c r="AC15" s="1276"/>
      <c r="AD15" s="1276"/>
      <c r="AE15" s="1277"/>
      <c r="AF15" s="2275"/>
      <c r="AG15" s="2276" t="s">
        <v>61</v>
      </c>
      <c r="AH15" s="2275"/>
      <c r="AI15" s="2276" t="s">
        <v>61</v>
      </c>
      <c r="AJ15" s="1945"/>
      <c r="AK15" s="1945"/>
      <c r="AL15" s="1945"/>
      <c r="AM15" s="1945"/>
      <c r="AN15" s="1945"/>
      <c r="AO15" s="1945"/>
      <c r="AP15" s="1945"/>
    </row>
    <row r="16" spans="1:49" ht="14.25" hidden="1" customHeight="1">
      <c r="AC16" s="1276"/>
      <c r="AD16" s="1276"/>
      <c r="AE16" s="254" t="str">
        <f>AF15&amp;"-"&amp;AH15</f>
        <v>-</v>
      </c>
      <c r="AF16" s="2276"/>
      <c r="AG16" s="2276"/>
      <c r="AH16" s="2276"/>
      <c r="AI16" s="2276"/>
      <c r="AJ16" s="1945"/>
      <c r="AK16" s="1945"/>
      <c r="AL16" s="1945"/>
      <c r="AM16" s="1945"/>
      <c r="AN16" s="1945"/>
      <c r="AO16" s="1945"/>
      <c r="AP16" s="1945"/>
    </row>
    <row r="17" spans="1:49" ht="14.25" hidden="1" customHeight="1">
      <c r="AI17" s="253"/>
      <c r="AJ17" s="1945"/>
      <c r="AK17" s="1945"/>
      <c r="AL17" s="1945"/>
      <c r="AM17" s="1945"/>
      <c r="AN17" s="1945"/>
      <c r="AO17" s="1945"/>
      <c r="AP17" s="1945"/>
    </row>
    <row r="18" spans="1:49" s="1931" customFormat="1" ht="22.5" hidden="1" customHeight="1">
      <c r="L18" s="1336"/>
      <c r="M18" s="1278"/>
      <c r="N18" s="1278"/>
      <c r="O18" s="1283" t="s">
        <v>406</v>
      </c>
      <c r="P18" s="1278"/>
      <c r="Q18" s="1287"/>
      <c r="R18" s="1287"/>
      <c r="S18" s="648"/>
      <c r="Y18" s="1283"/>
      <c r="AA18" s="1283"/>
      <c r="AB18" s="1282"/>
      <c r="AF18" s="1283"/>
      <c r="AH18" s="1283"/>
      <c r="AI18" s="1282"/>
      <c r="AJ18" s="1973"/>
      <c r="AK18" s="1973"/>
      <c r="AL18" s="1973"/>
      <c r="AM18" s="1974"/>
      <c r="AN18" s="1973"/>
      <c r="AO18" s="1974"/>
      <c r="AP18" s="1973"/>
      <c r="AS18" s="437"/>
      <c r="AT18" s="437"/>
      <c r="AU18" s="437"/>
      <c r="AV18" s="437"/>
      <c r="AW18" s="437"/>
    </row>
    <row r="19" spans="1:49" s="1931" customFormat="1" ht="14.25" hidden="1" customHeight="1">
      <c r="L19" s="1336"/>
      <c r="M19" s="1278"/>
      <c r="N19" s="1278"/>
      <c r="O19" s="1278"/>
      <c r="P19" s="1278"/>
      <c r="Q19" s="1287"/>
      <c r="R19" s="1287"/>
      <c r="S19" s="648"/>
      <c r="AB19" s="1282"/>
      <c r="AI19" s="1282"/>
      <c r="AJ19" s="1973"/>
      <c r="AK19" s="1973"/>
      <c r="AL19" s="1973"/>
      <c r="AM19" s="1973"/>
      <c r="AN19" s="1973"/>
      <c r="AO19" s="1973"/>
      <c r="AP19" s="1973"/>
      <c r="AS19" s="437"/>
      <c r="AT19" s="437"/>
      <c r="AU19" s="437"/>
      <c r="AV19" s="437"/>
      <c r="AW19" s="437"/>
    </row>
    <row r="20" spans="1:49" s="1931" customFormat="1" ht="12" hidden="1" customHeight="1">
      <c r="L20" s="1336"/>
      <c r="M20" s="1278"/>
      <c r="N20" s="1278"/>
      <c r="O20" s="1280" t="s">
        <v>407</v>
      </c>
      <c r="P20" s="1278"/>
      <c r="Q20" s="1356"/>
      <c r="R20" s="1356"/>
      <c r="S20" s="648"/>
      <c r="T20" s="1060" t="s">
        <v>408</v>
      </c>
      <c r="Z20" s="107" t="s">
        <v>409</v>
      </c>
      <c r="AB20" s="107" t="s">
        <v>410</v>
      </c>
      <c r="AC20" s="1060" t="s">
        <v>408</v>
      </c>
      <c r="AG20" s="107" t="s">
        <v>411</v>
      </c>
      <c r="AI20" s="107" t="s">
        <v>410</v>
      </c>
      <c r="AJ20" s="1973"/>
      <c r="AK20" s="1973"/>
      <c r="AL20" s="1973"/>
      <c r="AM20" s="1973"/>
      <c r="AN20" s="1975" t="s">
        <v>409</v>
      </c>
      <c r="AO20" s="1973"/>
      <c r="AP20" s="1975" t="s">
        <v>410</v>
      </c>
    </row>
    <row r="21" spans="1:49" ht="14.25" hidden="1" customHeight="1">
      <c r="O21" s="1280"/>
      <c r="AJ21" s="1945"/>
      <c r="AK21" s="1945"/>
      <c r="AL21" s="1945"/>
      <c r="AM21" s="1945"/>
      <c r="AN21" s="1945"/>
      <c r="AO21" s="1945"/>
      <c r="AP21" s="1945"/>
    </row>
    <row r="22" spans="1:49" ht="14.25" hidden="1" customHeight="1">
      <c r="O22" s="1280"/>
      <c r="AJ22" s="1945"/>
      <c r="AK22" s="1945"/>
      <c r="AL22" s="1945"/>
      <c r="AM22" s="1945"/>
      <c r="AN22" s="1945"/>
      <c r="AO22" s="1945"/>
      <c r="AP22" s="1945"/>
    </row>
    <row r="23" spans="1:49" ht="14.25" customHeight="1">
      <c r="Q23" s="305"/>
      <c r="R23" s="305"/>
      <c r="S23" s="1195"/>
      <c r="T23" s="290"/>
      <c r="U23" s="290"/>
      <c r="V23" s="435"/>
      <c r="W23" s="435"/>
      <c r="X23" s="435"/>
      <c r="Y23" s="435"/>
      <c r="Z23" s="435"/>
      <c r="AA23" s="435"/>
      <c r="AB23" s="435"/>
      <c r="AC23" s="435"/>
      <c r="AD23" s="435"/>
      <c r="AE23" s="435"/>
      <c r="AF23" s="435"/>
      <c r="AG23" s="435"/>
      <c r="AH23" s="435"/>
      <c r="AI23" s="435"/>
      <c r="AJ23" s="1945"/>
      <c r="AK23" s="1945"/>
      <c r="AL23" s="1945"/>
      <c r="AM23" s="1945"/>
      <c r="AN23" s="1945"/>
      <c r="AO23" s="1945"/>
      <c r="AP23" s="1945"/>
    </row>
    <row r="24" spans="1:49" ht="14.25" customHeight="1">
      <c r="Q24" s="305"/>
      <c r="R24" s="305"/>
      <c r="S24" s="225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54"/>
      <c r="U24" s="2254"/>
      <c r="V24" s="2254"/>
      <c r="W24" s="2254"/>
      <c r="X24" s="2254"/>
      <c r="Y24" s="2254"/>
      <c r="Z24" s="2254"/>
      <c r="AA24" s="2254"/>
      <c r="AB24" s="2254"/>
      <c r="AC24" s="2254"/>
      <c r="AD24" s="2254"/>
      <c r="AE24" s="2254"/>
      <c r="AF24" s="2254"/>
      <c r="AG24" s="2254"/>
      <c r="AH24" s="2254"/>
      <c r="AI24" s="1152"/>
      <c r="AJ24" s="1976"/>
      <c r="AK24" s="1976"/>
      <c r="AL24" s="1976"/>
      <c r="AM24" s="1976"/>
      <c r="AN24" s="1976"/>
      <c r="AO24" s="1976"/>
      <c r="AP24" s="1976"/>
    </row>
    <row r="25" spans="1:49" ht="14.25" customHeight="1">
      <c r="Q25" s="305"/>
      <c r="R25" s="305"/>
      <c r="S25" s="2200" t="str">
        <f>IF(org=0,"Не определено",org)</f>
        <v>ПАО "Юнипро"</v>
      </c>
      <c r="T25" s="2200"/>
      <c r="U25" s="2200"/>
      <c r="V25" s="2200"/>
      <c r="W25" s="2200"/>
      <c r="X25" s="2200"/>
      <c r="Y25" s="2200"/>
      <c r="Z25" s="2200"/>
      <c r="AA25" s="2200"/>
      <c r="AB25" s="2200"/>
      <c r="AC25" s="2200"/>
      <c r="AD25" s="2200"/>
      <c r="AE25" s="2200"/>
      <c r="AF25" s="2200"/>
      <c r="AG25" s="2200"/>
      <c r="AH25" s="2200"/>
      <c r="AI25" s="1152"/>
      <c r="AJ25" s="1977"/>
      <c r="AK25" s="1977"/>
      <c r="AL25" s="1977"/>
      <c r="AM25" s="1977"/>
      <c r="AN25" s="1977"/>
      <c r="AO25" s="1977"/>
      <c r="AP25" s="1977"/>
    </row>
    <row r="26" spans="1:49" ht="14.25" customHeight="1">
      <c r="Q26" s="305"/>
      <c r="R26" s="305"/>
      <c r="S26" s="1195"/>
      <c r="T26" s="290"/>
      <c r="U26" s="290"/>
      <c r="V26" s="246"/>
      <c r="W26" s="246"/>
      <c r="X26" s="246"/>
      <c r="Y26" s="246"/>
      <c r="Z26" s="246"/>
      <c r="AA26" s="246"/>
      <c r="AB26" s="246"/>
      <c r="AC26" s="246"/>
      <c r="AD26" s="246"/>
      <c r="AE26" s="246"/>
      <c r="AF26" s="246"/>
      <c r="AG26" s="246"/>
      <c r="AH26" s="246"/>
      <c r="AI26" s="246"/>
      <c r="AJ26" s="1978"/>
      <c r="AK26" s="1978"/>
      <c r="AL26" s="1978"/>
      <c r="AM26" s="1978"/>
      <c r="AN26" s="1978"/>
      <c r="AO26" s="1978"/>
      <c r="AP26" s="1978"/>
      <c r="AQ26" s="435"/>
    </row>
    <row r="27" spans="1:49" s="1936" customFormat="1" ht="25.5" customHeight="1">
      <c r="A27" s="1284"/>
      <c r="B27" s="1284"/>
      <c r="C27" s="1284"/>
      <c r="D27" s="1284"/>
      <c r="E27" s="1284"/>
      <c r="F27" s="1284"/>
      <c r="G27" s="1284"/>
      <c r="H27" s="1284"/>
      <c r="I27" s="1284"/>
      <c r="J27" s="1284"/>
      <c r="K27" s="1284"/>
      <c r="L27" s="1285"/>
      <c r="M27" s="1284"/>
      <c r="N27" s="1284"/>
      <c r="O27" s="1284"/>
      <c r="S27" s="2262" t="s">
        <v>38</v>
      </c>
      <c r="T27" s="2262"/>
      <c r="U27" s="1288"/>
      <c r="V27" s="2263" t="str">
        <f>IF(TITLE_NAME_OR_PR_CHANGE="",IF(TITLE_NAME_OR_PR="","",TITLE_NAME_OR_PR),TITLE_NAME_OR_PR_CHANGE)</f>
        <v>Министерство тарифной политики Красноярского края</v>
      </c>
      <c r="W27" s="2263"/>
      <c r="X27" s="2263"/>
      <c r="Y27" s="2263"/>
      <c r="Z27" s="2263"/>
      <c r="AA27" s="2263"/>
      <c r="AB27" s="252"/>
      <c r="AC27" s="2263" t="str">
        <f>IF(TITLE_NAME_OR_PR_CHANGE="",IF(TITLE_NAME_OR_PR="","",TITLE_NAME_OR_PR),TITLE_NAME_OR_PR_CHANGE)</f>
        <v>Министерство тарифной политики Красноярского края</v>
      </c>
      <c r="AD27" s="2263"/>
      <c r="AE27" s="2263"/>
      <c r="AF27" s="2263"/>
      <c r="AG27" s="2263"/>
      <c r="AH27" s="2263"/>
      <c r="AI27" s="252"/>
      <c r="AJ27" s="2263" t="str">
        <f>IF(TITLE_NAME_OR_PR_CHANGE="",IF(TITLE_NAME_OR_PR="","",TITLE_NAME_OR_PR),TITLE_NAME_OR_PR_CHANGE)</f>
        <v>Министерство тарифной политики Красноярского края</v>
      </c>
      <c r="AK27" s="2263"/>
      <c r="AL27" s="2263"/>
      <c r="AM27" s="2263"/>
      <c r="AN27" s="2263"/>
      <c r="AO27" s="2263"/>
      <c r="AP27" s="1945"/>
      <c r="AQ27" s="252"/>
      <c r="AR27" s="199"/>
      <c r="AS27" s="296"/>
      <c r="AT27" s="296"/>
      <c r="AU27" s="296"/>
      <c r="AV27" s="296"/>
      <c r="AW27" s="296"/>
    </row>
    <row r="28" spans="1:49" s="1936" customFormat="1" ht="18.75" customHeight="1">
      <c r="A28" s="1284"/>
      <c r="B28" s="1284"/>
      <c r="C28" s="1284"/>
      <c r="D28" s="1284"/>
      <c r="E28" s="1284"/>
      <c r="F28" s="1284"/>
      <c r="G28" s="1284"/>
      <c r="H28" s="1284"/>
      <c r="I28" s="1284"/>
      <c r="J28" s="1284"/>
      <c r="K28" s="1284"/>
      <c r="L28" s="1285"/>
      <c r="M28" s="1284"/>
      <c r="N28" s="1284"/>
      <c r="O28" s="1284"/>
      <c r="S28" s="2262" t="s">
        <v>412</v>
      </c>
      <c r="T28" s="2262"/>
      <c r="U28" s="1288"/>
      <c r="V28" s="2272">
        <f>IF(TITLE_DATE_PR_CHANGE="",IF(TITLE_DATE_PR="","",TITLE_DATE_PR),TITLE_DATE_PR_CHANGE)</f>
        <v>45278.357847222222</v>
      </c>
      <c r="W28" s="2272"/>
      <c r="X28" s="2272"/>
      <c r="Y28" s="2272"/>
      <c r="Z28" s="2272"/>
      <c r="AA28" s="2272"/>
      <c r="AB28" s="252"/>
      <c r="AC28" s="2272">
        <f>IF(TITLE_DATE_PR_CHANGE="",IF(TITLE_DATE_PR="","",TITLE_DATE_PR),TITLE_DATE_PR_CHANGE)</f>
        <v>45278.357847222222</v>
      </c>
      <c r="AD28" s="2272"/>
      <c r="AE28" s="2272"/>
      <c r="AF28" s="2272"/>
      <c r="AG28" s="2272"/>
      <c r="AH28" s="2272"/>
      <c r="AI28" s="252"/>
      <c r="AJ28" s="2272">
        <f>IF(TITLE_DATE_PR_CHANGE="",IF(TITLE_DATE_PR="","",TITLE_DATE_PR),TITLE_DATE_PR_CHANGE)</f>
        <v>45278.357847222222</v>
      </c>
      <c r="AK28" s="2272"/>
      <c r="AL28" s="2272"/>
      <c r="AM28" s="2272"/>
      <c r="AN28" s="2272"/>
      <c r="AO28" s="2272"/>
      <c r="AP28" s="1945"/>
      <c r="AQ28" s="252"/>
      <c r="AR28" s="199"/>
      <c r="AS28" s="296"/>
      <c r="AT28" s="296"/>
      <c r="AU28" s="296"/>
      <c r="AV28" s="296"/>
      <c r="AW28" s="296"/>
    </row>
    <row r="29" spans="1:49" s="1936" customFormat="1" ht="18.75" customHeight="1">
      <c r="A29" s="1284"/>
      <c r="B29" s="1284"/>
      <c r="C29" s="1284"/>
      <c r="D29" s="1284"/>
      <c r="E29" s="1284"/>
      <c r="F29" s="1284"/>
      <c r="G29" s="1284"/>
      <c r="H29" s="1284"/>
      <c r="I29" s="1284"/>
      <c r="J29" s="1284"/>
      <c r="K29" s="1284"/>
      <c r="L29" s="1285"/>
      <c r="M29" s="1284"/>
      <c r="N29" s="1284"/>
      <c r="O29" s="1284"/>
      <c r="S29" s="2262" t="s">
        <v>413</v>
      </c>
      <c r="T29" s="2262"/>
      <c r="U29" s="1288"/>
      <c r="V29" s="2263" t="str">
        <f>IF(TITLE_NUMBER_PR_CHANGE="",IF(TITLE_NUMBER_PR="","",TITLE_NUMBER_PR),TITLE_NUMBER_PR_CHANGE)</f>
        <v>924-в</v>
      </c>
      <c r="W29" s="2263"/>
      <c r="X29" s="2263"/>
      <c r="Y29" s="2263"/>
      <c r="Z29" s="2263"/>
      <c r="AA29" s="2263"/>
      <c r="AB29" s="252"/>
      <c r="AC29" s="2263" t="str">
        <f>IF(TITLE_NUMBER_PR_CHANGE="",IF(TITLE_NUMBER_PR="","",TITLE_NUMBER_PR),TITLE_NUMBER_PR_CHANGE)</f>
        <v>924-в</v>
      </c>
      <c r="AD29" s="2263"/>
      <c r="AE29" s="2263"/>
      <c r="AF29" s="2263"/>
      <c r="AG29" s="2263"/>
      <c r="AH29" s="2263"/>
      <c r="AI29" s="252"/>
      <c r="AJ29" s="2263" t="str">
        <f>IF(TITLE_NUMBER_PR_CHANGE="",IF(TITLE_NUMBER_PR="","",TITLE_NUMBER_PR),TITLE_NUMBER_PR_CHANGE)</f>
        <v>924-в</v>
      </c>
      <c r="AK29" s="2263"/>
      <c r="AL29" s="2263"/>
      <c r="AM29" s="2263"/>
      <c r="AN29" s="2263"/>
      <c r="AO29" s="2263"/>
      <c r="AP29" s="1945"/>
      <c r="AQ29" s="252"/>
      <c r="AR29" s="199"/>
      <c r="AS29" s="296"/>
      <c r="AT29" s="296"/>
      <c r="AU29" s="296"/>
      <c r="AV29" s="296"/>
      <c r="AW29" s="296"/>
    </row>
    <row r="30" spans="1:49" s="1936" customFormat="1" ht="18.75" customHeight="1">
      <c r="A30" s="1284"/>
      <c r="B30" s="1284"/>
      <c r="C30" s="1284"/>
      <c r="D30" s="1284"/>
      <c r="E30" s="1284"/>
      <c r="F30" s="1284"/>
      <c r="G30" s="1284"/>
      <c r="H30" s="1284"/>
      <c r="I30" s="1284"/>
      <c r="J30" s="1284"/>
      <c r="K30" s="1284"/>
      <c r="L30" s="1285"/>
      <c r="M30" s="1284"/>
      <c r="N30" s="1284"/>
      <c r="O30" s="1284"/>
      <c r="S30" s="2262" t="s">
        <v>40</v>
      </c>
      <c r="T30" s="2262"/>
      <c r="U30" s="1288"/>
      <c r="V30" s="2263" t="str">
        <f>IF(TITLE_IST_PUB_CHANGE="",IF(TITLE_IST_PUB="","",TITLE_IST_PUB),TITLE_IST_PUB_CHANGE)</f>
        <v>Официальный интернет-портал правовой информации Красноярского края (http://www.zakon.krskstate.ru/)</v>
      </c>
      <c r="W30" s="2263"/>
      <c r="X30" s="2263"/>
      <c r="Y30" s="2263"/>
      <c r="Z30" s="2263"/>
      <c r="AA30" s="2263"/>
      <c r="AB30" s="252"/>
      <c r="AC30" s="2263" t="str">
        <f>IF(TITLE_IST_PUB_CHANGE="",IF(TITLE_IST_PUB="","",TITLE_IST_PUB),TITLE_IST_PUB_CHANGE)</f>
        <v>Официальный интернет-портал правовой информации Красноярского края (http://www.zakon.krskstate.ru/)</v>
      </c>
      <c r="AD30" s="2263"/>
      <c r="AE30" s="2263"/>
      <c r="AF30" s="2263"/>
      <c r="AG30" s="2263"/>
      <c r="AH30" s="2263"/>
      <c r="AI30" s="252"/>
      <c r="AJ30" s="2263" t="str">
        <f>IF(TITLE_IST_PUB_CHANGE="",IF(TITLE_IST_PUB="","",TITLE_IST_PUB),TITLE_IST_PUB_CHANGE)</f>
        <v>Официальный интернет-портал правовой информации Красноярского края (http://www.zakon.krskstate.ru/)</v>
      </c>
      <c r="AK30" s="2263"/>
      <c r="AL30" s="2263"/>
      <c r="AM30" s="2263"/>
      <c r="AN30" s="2263"/>
      <c r="AO30" s="2263"/>
      <c r="AP30" s="1945"/>
      <c r="AQ30" s="252"/>
      <c r="AR30" s="199"/>
      <c r="AS30" s="296"/>
      <c r="AT30" s="296"/>
      <c r="AU30" s="296"/>
      <c r="AV30" s="296"/>
      <c r="AW30" s="296"/>
    </row>
    <row r="31" spans="1:49" ht="14.25" hidden="1" customHeight="1">
      <c r="Q31" s="305"/>
      <c r="R31" s="305"/>
      <c r="S31" s="1195"/>
      <c r="T31" s="290"/>
      <c r="U31" s="290"/>
      <c r="V31" s="246"/>
      <c r="W31" s="246"/>
      <c r="X31" s="246"/>
      <c r="Y31" s="246"/>
      <c r="Z31" s="246"/>
      <c r="AA31" s="246"/>
      <c r="AB31" s="246"/>
      <c r="AC31" s="246"/>
      <c r="AD31" s="246"/>
      <c r="AE31" s="246"/>
      <c r="AF31" s="246"/>
      <c r="AG31" s="246"/>
      <c r="AH31" s="246"/>
      <c r="AI31" s="246"/>
      <c r="AJ31" s="1978"/>
      <c r="AK31" s="1978"/>
      <c r="AL31" s="1978"/>
      <c r="AM31" s="1978"/>
      <c r="AN31" s="1978"/>
      <c r="AO31" s="1978"/>
      <c r="AP31" s="1978"/>
      <c r="AQ31" s="435"/>
    </row>
    <row r="32" spans="1:49" s="1936" customFormat="1" ht="18.75" hidden="1" customHeight="1">
      <c r="A32" s="1284"/>
      <c r="B32" s="1284"/>
      <c r="C32" s="1284"/>
      <c r="D32" s="1284"/>
      <c r="E32" s="1284"/>
      <c r="F32" s="1284"/>
      <c r="G32" s="1284"/>
      <c r="H32" s="1284"/>
      <c r="I32" s="1284"/>
      <c r="J32" s="1284"/>
      <c r="K32" s="1284"/>
      <c r="L32" s="1285"/>
      <c r="M32" s="1284"/>
      <c r="N32" s="1284"/>
      <c r="O32" s="1284"/>
      <c r="S32" s="2262" t="s">
        <v>414</v>
      </c>
      <c r="T32" s="2262"/>
      <c r="U32" s="1288"/>
      <c r="V32" s="2272">
        <f>IF(TITLE_DATE_PR_CHANGE="",IF(TITLE_DATE_PR="","",TITLE_DATE_PR),TITLE_DATE_PR_CHANGE)</f>
        <v>45278.357847222222</v>
      </c>
      <c r="W32" s="2272"/>
      <c r="X32" s="2272"/>
      <c r="Y32" s="2272"/>
      <c r="Z32" s="2272"/>
      <c r="AA32" s="2272"/>
      <c r="AB32" s="252"/>
      <c r="AC32" s="2272">
        <f>IF(TITLE_DATE_PR_CHANGE="",IF(TITLE_DATE_PR="","",TITLE_DATE_PR),TITLE_DATE_PR_CHANGE)</f>
        <v>45278.357847222222</v>
      </c>
      <c r="AD32" s="2272"/>
      <c r="AE32" s="2272"/>
      <c r="AF32" s="2272"/>
      <c r="AG32" s="2272"/>
      <c r="AH32" s="2272"/>
      <c r="AI32" s="252"/>
      <c r="AJ32" s="2272">
        <f>IF(TITLE_DATE_PR_CHANGE="",IF(TITLE_DATE_PR="","",TITLE_DATE_PR),TITLE_DATE_PR_CHANGE)</f>
        <v>45278.357847222222</v>
      </c>
      <c r="AK32" s="2272"/>
      <c r="AL32" s="2272"/>
      <c r="AM32" s="2272"/>
      <c r="AN32" s="2272"/>
      <c r="AO32" s="2272"/>
      <c r="AP32" s="1945"/>
      <c r="AQ32" s="252"/>
      <c r="AR32" s="199"/>
      <c r="AS32" s="296"/>
      <c r="AT32" s="296"/>
      <c r="AU32" s="296"/>
      <c r="AV32" s="296"/>
      <c r="AW32" s="296"/>
    </row>
    <row r="33" spans="1:49" s="1936" customFormat="1" ht="18.75" hidden="1" customHeight="1">
      <c r="A33" s="1284"/>
      <c r="B33" s="1284"/>
      <c r="C33" s="1284"/>
      <c r="D33" s="1284"/>
      <c r="E33" s="1284"/>
      <c r="F33" s="1284"/>
      <c r="G33" s="1284"/>
      <c r="H33" s="1284"/>
      <c r="I33" s="1284"/>
      <c r="J33" s="1284"/>
      <c r="K33" s="1284"/>
      <c r="L33" s="1285"/>
      <c r="M33" s="1284"/>
      <c r="N33" s="1284"/>
      <c r="O33" s="1284"/>
      <c r="S33" s="2262" t="s">
        <v>415</v>
      </c>
      <c r="T33" s="2262"/>
      <c r="U33" s="1288"/>
      <c r="V33" s="2263" t="str">
        <f>IF(TITLE_NUMBER_PR_CHANGE="",IF(TITLE_NUMBER_PR="","",TITLE_NUMBER_PR),TITLE_NUMBER_PR_CHANGE)</f>
        <v>924-в</v>
      </c>
      <c r="W33" s="2263"/>
      <c r="X33" s="2263"/>
      <c r="Y33" s="2263"/>
      <c r="Z33" s="2263"/>
      <c r="AA33" s="2263"/>
      <c r="AB33" s="252"/>
      <c r="AC33" s="2263" t="str">
        <f>IF(TITLE_NUMBER_PR_CHANGE="",IF(TITLE_NUMBER_PR="","",TITLE_NUMBER_PR),TITLE_NUMBER_PR_CHANGE)</f>
        <v>924-в</v>
      </c>
      <c r="AD33" s="2263"/>
      <c r="AE33" s="2263"/>
      <c r="AF33" s="2263"/>
      <c r="AG33" s="2263"/>
      <c r="AH33" s="2263"/>
      <c r="AI33" s="252"/>
      <c r="AJ33" s="2263" t="str">
        <f>IF(TITLE_NUMBER_PR_CHANGE="",IF(TITLE_NUMBER_PR="","",TITLE_NUMBER_PR),TITLE_NUMBER_PR_CHANGE)</f>
        <v>924-в</v>
      </c>
      <c r="AK33" s="2263"/>
      <c r="AL33" s="2263"/>
      <c r="AM33" s="2263"/>
      <c r="AN33" s="2263"/>
      <c r="AO33" s="2263"/>
      <c r="AP33" s="1945"/>
      <c r="AQ33" s="252"/>
      <c r="AR33" s="199"/>
      <c r="AS33" s="296"/>
      <c r="AT33" s="296"/>
      <c r="AU33" s="296"/>
      <c r="AV33" s="296"/>
      <c r="AW33" s="296"/>
    </row>
    <row r="34" spans="1:49" s="1936" customFormat="1" ht="0.75" customHeight="1">
      <c r="A34" s="1284"/>
      <c r="B34" s="1284"/>
      <c r="C34" s="1284"/>
      <c r="D34" s="1284"/>
      <c r="E34" s="1284"/>
      <c r="F34" s="1284"/>
      <c r="G34" s="1284"/>
      <c r="H34" s="1284"/>
      <c r="I34" s="1284"/>
      <c r="J34" s="1284"/>
      <c r="K34" s="1284"/>
      <c r="L34" s="1285"/>
      <c r="M34" s="1284"/>
      <c r="N34" s="1284"/>
      <c r="O34" s="1284"/>
      <c r="S34" s="248"/>
      <c r="T34" s="248"/>
      <c r="U34" s="1271"/>
      <c r="V34" s="252"/>
      <c r="W34" s="252"/>
      <c r="X34" s="252"/>
      <c r="Y34" s="252"/>
      <c r="Z34" s="252"/>
      <c r="AA34" s="252"/>
      <c r="AB34" s="197" t="s">
        <v>416</v>
      </c>
      <c r="AC34" s="252"/>
      <c r="AD34" s="252"/>
      <c r="AE34" s="252"/>
      <c r="AF34" s="252"/>
      <c r="AG34" s="252"/>
      <c r="AH34" s="252"/>
      <c r="AI34" s="197" t="s">
        <v>416</v>
      </c>
      <c r="AJ34" s="1945"/>
      <c r="AK34" s="1945"/>
      <c r="AL34" s="1945"/>
      <c r="AM34" s="1945"/>
      <c r="AN34" s="1945"/>
      <c r="AO34" s="1945"/>
      <c r="AP34" s="1979" t="s">
        <v>416</v>
      </c>
      <c r="AS34" s="296"/>
      <c r="AT34" s="296"/>
      <c r="AU34" s="296"/>
      <c r="AV34" s="296"/>
      <c r="AW34" s="296"/>
    </row>
    <row r="35" spans="1:49" ht="14.25" customHeight="1">
      <c r="Q35" s="305"/>
      <c r="R35" s="305"/>
      <c r="S35" s="1195"/>
      <c r="T35" s="290"/>
      <c r="U35" s="1153"/>
      <c r="V35" s="2264"/>
      <c r="W35" s="2264"/>
      <c r="X35" s="2264"/>
      <c r="Y35" s="2264"/>
      <c r="Z35" s="2264"/>
      <c r="AA35" s="2264"/>
      <c r="AB35" s="2264"/>
      <c r="AC35" s="2264"/>
      <c r="AD35" s="2264"/>
      <c r="AE35" s="2264"/>
      <c r="AF35" s="2264"/>
      <c r="AG35" s="2264"/>
      <c r="AH35" s="2264"/>
      <c r="AI35" s="2264"/>
      <c r="AJ35" s="2264" t="s">
        <v>477</v>
      </c>
      <c r="AK35" s="2264"/>
      <c r="AL35" s="2264"/>
      <c r="AM35" s="2264"/>
      <c r="AN35" s="2264"/>
      <c r="AO35" s="2264"/>
      <c r="AP35" s="2264"/>
    </row>
    <row r="36" spans="1:49" ht="14.25" customHeight="1">
      <c r="Q36" s="305"/>
      <c r="R36" s="305"/>
      <c r="S36" s="2143" t="s">
        <v>289</v>
      </c>
      <c r="T36" s="2143"/>
      <c r="U36" s="2143"/>
      <c r="V36" s="2143"/>
      <c r="W36" s="2143"/>
      <c r="X36" s="2143"/>
      <c r="Y36" s="2143"/>
      <c r="Z36" s="2143"/>
      <c r="AA36" s="2143"/>
      <c r="AB36" s="2143"/>
      <c r="AC36" s="2143"/>
      <c r="AD36" s="2143"/>
      <c r="AE36" s="2143"/>
      <c r="AF36" s="2143"/>
      <c r="AG36" s="2143"/>
      <c r="AH36" s="2143"/>
      <c r="AI36" s="2143"/>
      <c r="AJ36" s="2143" t="s">
        <v>289</v>
      </c>
      <c r="AK36" s="2143"/>
      <c r="AL36" s="2143"/>
      <c r="AM36" s="2143"/>
      <c r="AN36" s="2143"/>
      <c r="AO36" s="2143"/>
      <c r="AP36" s="2143"/>
      <c r="AQ36" s="2143"/>
      <c r="AR36" s="2143"/>
    </row>
    <row r="37" spans="1:49" ht="14.25" customHeight="1">
      <c r="Q37" s="305"/>
      <c r="R37" s="305"/>
      <c r="S37" s="2278" t="s">
        <v>87</v>
      </c>
      <c r="T37" s="2229" t="s">
        <v>417</v>
      </c>
      <c r="U37" s="219"/>
      <c r="V37" s="2279" t="s">
        <v>418</v>
      </c>
      <c r="W37" s="2280"/>
      <c r="X37" s="2280"/>
      <c r="Y37" s="2280"/>
      <c r="Z37" s="2280"/>
      <c r="AA37" s="2281"/>
      <c r="AB37" s="2282" t="s">
        <v>419</v>
      </c>
      <c r="AC37" s="2279" t="s">
        <v>418</v>
      </c>
      <c r="AD37" s="2280"/>
      <c r="AE37" s="2280"/>
      <c r="AF37" s="2280"/>
      <c r="AG37" s="2280"/>
      <c r="AH37" s="2281"/>
      <c r="AI37" s="2282" t="s">
        <v>420</v>
      </c>
      <c r="AJ37" s="2279" t="s">
        <v>418</v>
      </c>
      <c r="AK37" s="2280"/>
      <c r="AL37" s="2280"/>
      <c r="AM37" s="2280"/>
      <c r="AN37" s="2280"/>
      <c r="AO37" s="2281"/>
      <c r="AP37" s="2282" t="s">
        <v>419</v>
      </c>
      <c r="AQ37" s="2285" t="s">
        <v>421</v>
      </c>
      <c r="AR37" s="2143"/>
    </row>
    <row r="38" spans="1:49" ht="33.75" customHeight="1">
      <c r="Q38" s="305"/>
      <c r="R38" s="305"/>
      <c r="S38" s="2278"/>
      <c r="T38" s="2229"/>
      <c r="U38" s="938"/>
      <c r="V38" s="1268" t="s">
        <v>478</v>
      </c>
      <c r="W38" s="2115" t="s">
        <v>424</v>
      </c>
      <c r="X38" s="2114"/>
      <c r="Y38" s="2115" t="s">
        <v>425</v>
      </c>
      <c r="Z38" s="2120"/>
      <c r="AA38" s="2114"/>
      <c r="AB38" s="2283"/>
      <c r="AC38" s="1268" t="s">
        <v>478</v>
      </c>
      <c r="AD38" s="2115" t="s">
        <v>424</v>
      </c>
      <c r="AE38" s="2114"/>
      <c r="AF38" s="2115" t="s">
        <v>425</v>
      </c>
      <c r="AG38" s="2120"/>
      <c r="AH38" s="2114"/>
      <c r="AI38" s="2283"/>
      <c r="AJ38" s="1980" t="s">
        <v>478</v>
      </c>
      <c r="AK38" s="2115" t="s">
        <v>424</v>
      </c>
      <c r="AL38" s="2114"/>
      <c r="AM38" s="2115" t="s">
        <v>425</v>
      </c>
      <c r="AN38" s="2120"/>
      <c r="AO38" s="2114"/>
      <c r="AP38" s="2283"/>
      <c r="AQ38" s="2286"/>
      <c r="AR38" s="2143"/>
    </row>
    <row r="39" spans="1:49" ht="89.1" customHeight="1">
      <c r="A39" s="1286"/>
      <c r="B39" s="1286" t="s">
        <v>134</v>
      </c>
      <c r="C39" s="1286" t="s">
        <v>135</v>
      </c>
      <c r="D39" s="1286" t="s">
        <v>136</v>
      </c>
      <c r="E39" s="1280" t="s">
        <v>426</v>
      </c>
      <c r="F39" s="1280" t="s">
        <v>427</v>
      </c>
      <c r="G39" s="1280" t="s">
        <v>428</v>
      </c>
      <c r="H39" s="1280"/>
      <c r="I39" s="1280" t="s">
        <v>479</v>
      </c>
      <c r="J39" s="1280" t="s">
        <v>431</v>
      </c>
      <c r="K39" s="1280" t="s">
        <v>480</v>
      </c>
      <c r="L39" s="1280" t="s">
        <v>407</v>
      </c>
      <c r="Q39" s="305"/>
      <c r="R39" s="305"/>
      <c r="S39" s="2278"/>
      <c r="T39" s="2229"/>
      <c r="U39" s="220"/>
      <c r="V39" s="1268" t="s">
        <v>481</v>
      </c>
      <c r="W39" s="1128" t="s">
        <v>482</v>
      </c>
      <c r="X39" s="1128" t="s">
        <v>483</v>
      </c>
      <c r="Y39" s="1273" t="s">
        <v>435</v>
      </c>
      <c r="Z39" s="2238" t="s">
        <v>436</v>
      </c>
      <c r="AA39" s="2240"/>
      <c r="AB39" s="2284"/>
      <c r="AC39" s="1268" t="s">
        <v>481</v>
      </c>
      <c r="AD39" s="1128" t="s">
        <v>482</v>
      </c>
      <c r="AE39" s="1128" t="s">
        <v>483</v>
      </c>
      <c r="AF39" s="1273" t="s">
        <v>435</v>
      </c>
      <c r="AG39" s="2238" t="s">
        <v>436</v>
      </c>
      <c r="AH39" s="2240"/>
      <c r="AI39" s="2284"/>
      <c r="AJ39" s="1980" t="s">
        <v>481</v>
      </c>
      <c r="AK39" s="1981" t="s">
        <v>482</v>
      </c>
      <c r="AL39" s="1981" t="s">
        <v>483</v>
      </c>
      <c r="AM39" s="1981" t="s">
        <v>435</v>
      </c>
      <c r="AN39" s="2238" t="s">
        <v>436</v>
      </c>
      <c r="AO39" s="2240"/>
      <c r="AP39" s="2284"/>
      <c r="AQ39" s="2287"/>
      <c r="AR39" s="2143"/>
    </row>
    <row r="40" spans="1:49" s="1819" customFormat="1" ht="11.25"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108</v>
      </c>
      <c r="T40" s="1172" t="s">
        <v>109</v>
      </c>
      <c r="U40" s="1154" t="str">
        <f ca="1">OFFSET(U40,0,-1)</f>
        <v>2</v>
      </c>
      <c r="V40" s="1269">
        <f ca="1">OFFSET(V40,0,-1)+1</f>
        <v>3</v>
      </c>
      <c r="W40" s="1269">
        <f ca="1">OFFSET(W40,0,-1)+1</f>
        <v>4</v>
      </c>
      <c r="X40" s="1269">
        <f ca="1">OFFSET(X40,0,-1)+1</f>
        <v>5</v>
      </c>
      <c r="Y40" s="1269">
        <f ca="1">OFFSET(Y40,0,-1)+1</f>
        <v>6</v>
      </c>
      <c r="Z40" s="2277">
        <f ca="1">OFFSET(Z40,0,-1)+1</f>
        <v>7</v>
      </c>
      <c r="AA40" s="2277"/>
      <c r="AB40" s="1269">
        <f ca="1">OFFSET(AB40,0,-2)+1</f>
        <v>8</v>
      </c>
      <c r="AC40" s="1269">
        <f ca="1">OFFSET(AC40,0,-1)+1</f>
        <v>9</v>
      </c>
      <c r="AD40" s="1269">
        <f ca="1">OFFSET(AD40,0,-1)+1</f>
        <v>10</v>
      </c>
      <c r="AE40" s="1269">
        <f ca="1">OFFSET(AE40,0,-1)+1</f>
        <v>11</v>
      </c>
      <c r="AF40" s="1269">
        <f ca="1">OFFSET(AF40,0,-1)+1</f>
        <v>12</v>
      </c>
      <c r="AG40" s="2277">
        <f ca="1">OFFSET(AG40,0,-1)+1</f>
        <v>13</v>
      </c>
      <c r="AH40" s="2277"/>
      <c r="AI40" s="1269">
        <f ca="1">OFFSET(AI40,0,-2)+1</f>
        <v>14</v>
      </c>
      <c r="AJ40" s="1982">
        <f ca="1">OFFSET(AJ40,0,-1)+1</f>
        <v>15</v>
      </c>
      <c r="AK40" s="1982">
        <f ca="1">OFFSET(AK40,0,-1)+1</f>
        <v>16</v>
      </c>
      <c r="AL40" s="1982">
        <f ca="1">OFFSET(AL40,0,-1)+1</f>
        <v>17</v>
      </c>
      <c r="AM40" s="1982">
        <f ca="1">OFFSET(AM40,0,-1)+1</f>
        <v>18</v>
      </c>
      <c r="AN40" s="2277">
        <f ca="1">OFFSET(AN40,0,-1)+1</f>
        <v>19</v>
      </c>
      <c r="AO40" s="2277"/>
      <c r="AP40" s="1982">
        <f ca="1">OFFSET(AP40,0,-2)+1</f>
        <v>20</v>
      </c>
      <c r="AQ40" s="1154">
        <f ca="1">OFFSET(AQ40,0,-1)</f>
        <v>20</v>
      </c>
      <c r="AR40" s="1269">
        <f ca="1">OFFSET(AR40,0,-1)+1</f>
        <v>21</v>
      </c>
      <c r="AS40" s="437"/>
      <c r="AT40" s="437"/>
      <c r="AU40" s="437"/>
      <c r="AV40" s="437"/>
      <c r="AW40" s="437"/>
    </row>
    <row r="41" spans="1:49" ht="23.25" customHeight="1">
      <c r="A41" s="1279" t="s">
        <v>212</v>
      </c>
      <c r="B41" s="1279"/>
      <c r="C41" s="1279"/>
      <c r="D41" s="1279"/>
      <c r="E41" s="2270">
        <v>1</v>
      </c>
      <c r="F41" s="1279"/>
      <c r="G41" s="1279"/>
      <c r="H41" s="1279"/>
      <c r="I41" s="1279"/>
      <c r="J41" s="1279"/>
      <c r="K41" s="1279"/>
      <c r="L41" s="1280"/>
      <c r="M41" s="1281"/>
      <c r="N41" s="1281"/>
      <c r="O41" s="1281"/>
      <c r="P41" s="286"/>
      <c r="Q41" s="285"/>
      <c r="R41" s="280"/>
      <c r="S41" s="1274">
        <f>INDEX(PT_DIFFERENTIATION_NUM_NTAR,MATCH(A41,PT_DIFFERENTIATION_NTAR_ID,0))</f>
        <v>1</v>
      </c>
      <c r="T41" s="216" t="s">
        <v>122</v>
      </c>
      <c r="U41" s="218"/>
      <c r="V41" s="2256"/>
      <c r="W41" s="2257"/>
      <c r="X41" s="2257"/>
      <c r="Y41" s="2257"/>
      <c r="Z41" s="2257"/>
      <c r="AA41" s="2257"/>
      <c r="AB41" s="2258"/>
      <c r="AC41" s="2256" t="str">
        <f>INDEX(PT_DIFFERENTIATION_NTAR,MATCH(A41,PT_DIFFERENTIATION_NTAR_ID,0))</f>
        <v/>
      </c>
      <c r="AD41" s="2257"/>
      <c r="AE41" s="2257"/>
      <c r="AF41" s="2257"/>
      <c r="AG41" s="2257"/>
      <c r="AH41" s="2257"/>
      <c r="AI41" s="2257"/>
      <c r="AJ41" s="2256"/>
      <c r="AK41" s="2257"/>
      <c r="AL41" s="2257"/>
      <c r="AM41" s="2257"/>
      <c r="AN41" s="2257"/>
      <c r="AO41" s="2257"/>
      <c r="AP41" s="2258"/>
      <c r="AQ41" s="2258"/>
      <c r="AR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41" s="426"/>
      <c r="AU41" s="426" t="str">
        <f t="shared" ref="AU41:AU53" si="1">IF(T41="","",T41)</f>
        <v>Наименование тарифа</v>
      </c>
      <c r="AV41" s="426"/>
      <c r="AW41" s="426"/>
    </row>
    <row r="42" spans="1:49" ht="23.25" customHeight="1">
      <c r="A42" s="1279" t="s">
        <v>212</v>
      </c>
      <c r="B42" s="1279" t="s">
        <v>213</v>
      </c>
      <c r="C42" s="1279"/>
      <c r="D42" s="1279"/>
      <c r="E42" s="2271"/>
      <c r="F42" s="2270">
        <v>1</v>
      </c>
      <c r="G42" s="1279"/>
      <c r="H42" s="1279"/>
      <c r="I42" s="1279"/>
      <c r="J42" s="1279"/>
      <c r="K42" s="1279"/>
      <c r="L42" s="1280"/>
      <c r="M42" s="1281"/>
      <c r="N42" s="1281"/>
      <c r="O42" s="1281"/>
      <c r="P42" s="1272"/>
      <c r="Q42" s="277"/>
      <c r="R42" s="278"/>
      <c r="S42" s="1274" t="str">
        <f>INDEX(PT_DIFFERENTIATION_NUM_TER,MATCH(B42,PT_DIFFERENTIATION_TER_ID,0))</f>
        <v>1.1</v>
      </c>
      <c r="T42" s="228" t="s">
        <v>388</v>
      </c>
      <c r="U42" s="218"/>
      <c r="V42" s="2256"/>
      <c r="W42" s="2257"/>
      <c r="X42" s="2257"/>
      <c r="Y42" s="2257"/>
      <c r="Z42" s="2257"/>
      <c r="AA42" s="2257"/>
      <c r="AB42" s="2258"/>
      <c r="AC42" s="2256" t="str">
        <f>INDEX(PT_DIFFERENTIATION_TER,MATCH(B42,PT_DIFFERENTIATION_TER_ID,0))</f>
        <v>без дифференциации</v>
      </c>
      <c r="AD42" s="2257"/>
      <c r="AE42" s="2257"/>
      <c r="AF42" s="2257"/>
      <c r="AG42" s="2257"/>
      <c r="AH42" s="2257"/>
      <c r="AI42" s="2257"/>
      <c r="AJ42" s="2256"/>
      <c r="AK42" s="2257"/>
      <c r="AL42" s="2257"/>
      <c r="AM42" s="2257"/>
      <c r="AN42" s="2257"/>
      <c r="AO42" s="2257"/>
      <c r="AP42" s="2258"/>
      <c r="AQ42" s="2258"/>
      <c r="AR42" s="1177" t="s">
        <v>389</v>
      </c>
      <c r="AT42" s="426"/>
      <c r="AU42" s="426" t="str">
        <f t="shared" si="1"/>
        <v>Территория действия тарифа</v>
      </c>
      <c r="AV42" s="426"/>
      <c r="AW42" s="426"/>
    </row>
    <row r="43" spans="1:49" ht="23.25" customHeight="1">
      <c r="A43" s="1279" t="s">
        <v>212</v>
      </c>
      <c r="B43" s="1279" t="s">
        <v>213</v>
      </c>
      <c r="C43" s="1279" t="s">
        <v>214</v>
      </c>
      <c r="D43" s="1279"/>
      <c r="E43" s="2271"/>
      <c r="F43" s="2271"/>
      <c r="G43" s="2270">
        <v>1</v>
      </c>
      <c r="H43" s="1279"/>
      <c r="I43" s="1279"/>
      <c r="J43" s="1279"/>
      <c r="K43" s="1279"/>
      <c r="L43" s="1280"/>
      <c r="M43" s="1281"/>
      <c r="N43" s="1281"/>
      <c r="O43" s="1281"/>
      <c r="P43" s="279"/>
      <c r="Q43" s="277"/>
      <c r="R43" s="278"/>
      <c r="S43" s="1274" t="str">
        <f>INDEX(PT_DIFFERENTIATION_NUM_CS,MATCH(C43,PT_DIFFERENTIATION_CS_ID,0))</f>
        <v>1.1.1</v>
      </c>
      <c r="T43" s="229" t="s">
        <v>469</v>
      </c>
      <c r="U43" s="218"/>
      <c r="V43" s="2256"/>
      <c r="W43" s="2257"/>
      <c r="X43" s="2257"/>
      <c r="Y43" s="2257"/>
      <c r="Z43" s="2257"/>
      <c r="AA43" s="2257"/>
      <c r="AB43" s="2258"/>
      <c r="AC43" s="2256" t="str">
        <f>INDEX(PT_DIFFERENTIATION_CS,MATCH(C43,PT_DIFFERENTIATION_CS_ID,0))</f>
        <v>без дифференциации</v>
      </c>
      <c r="AD43" s="2257"/>
      <c r="AE43" s="2257"/>
      <c r="AF43" s="2257"/>
      <c r="AG43" s="2257"/>
      <c r="AH43" s="2257"/>
      <c r="AI43" s="2257"/>
      <c r="AJ43" s="2256"/>
      <c r="AK43" s="2257"/>
      <c r="AL43" s="2257"/>
      <c r="AM43" s="2257"/>
      <c r="AN43" s="2257"/>
      <c r="AO43" s="2257"/>
      <c r="AP43" s="2258"/>
      <c r="AQ43" s="2258"/>
      <c r="AR43" s="1177" t="s">
        <v>470</v>
      </c>
      <c r="AT43" s="426"/>
      <c r="AU43" s="426" t="str">
        <f t="shared" si="1"/>
        <v>Наименование централизованной системы холодного водоснабжения</v>
      </c>
      <c r="AV43" s="426"/>
      <c r="AW43" s="426"/>
    </row>
    <row r="44" spans="1:49" ht="23.25" customHeight="1">
      <c r="A44" s="1279" t="s">
        <v>212</v>
      </c>
      <c r="B44" s="1279" t="s">
        <v>213</v>
      </c>
      <c r="C44" s="1279" t="s">
        <v>214</v>
      </c>
      <c r="D44" s="1279" t="s">
        <v>484</v>
      </c>
      <c r="E44" s="2271"/>
      <c r="F44" s="2271"/>
      <c r="G44" s="2271"/>
      <c r="H44" s="2271"/>
      <c r="I44" s="2268" t="str">
        <f>S43&amp;".1"</f>
        <v>1.1.1.1</v>
      </c>
      <c r="J44" s="1279"/>
      <c r="K44" s="1279"/>
      <c r="L44" s="1280"/>
      <c r="P44" s="2269">
        <v>1</v>
      </c>
      <c r="Q44" s="1270"/>
      <c r="R44" s="281"/>
      <c r="S44" s="1274" t="str">
        <f>$I44</f>
        <v>1.1.1.1</v>
      </c>
      <c r="T44" s="203" t="s">
        <v>471</v>
      </c>
      <c r="U44" s="218"/>
      <c r="V44" s="2329"/>
      <c r="W44" s="2330"/>
      <c r="X44" s="2330"/>
      <c r="Y44" s="2330"/>
      <c r="Z44" s="2330"/>
      <c r="AA44" s="2330"/>
      <c r="AB44" s="2331"/>
      <c r="AC44" s="2332" t="s">
        <v>485</v>
      </c>
      <c r="AD44" s="2333"/>
      <c r="AE44" s="2333"/>
      <c r="AF44" s="2333"/>
      <c r="AG44" s="2333"/>
      <c r="AH44" s="2333"/>
      <c r="AI44" s="2333"/>
      <c r="AJ44" s="2329"/>
      <c r="AK44" s="2330"/>
      <c r="AL44" s="2330"/>
      <c r="AM44" s="2330"/>
      <c r="AN44" s="2330"/>
      <c r="AO44" s="2330"/>
      <c r="AP44" s="2331"/>
      <c r="AQ44" s="2334"/>
      <c r="AR44" s="1177" t="s">
        <v>472</v>
      </c>
      <c r="AT44" s="426"/>
      <c r="AU44" s="426" t="str">
        <f t="shared" si="1"/>
        <v>Наименование признака дифференциации</v>
      </c>
      <c r="AV44" s="426"/>
      <c r="AW44" s="426"/>
    </row>
    <row r="45" spans="1:49" ht="23.25" customHeight="1">
      <c r="A45" s="1279" t="s">
        <v>212</v>
      </c>
      <c r="B45" s="1279" t="s">
        <v>213</v>
      </c>
      <c r="C45" s="1279" t="s">
        <v>214</v>
      </c>
      <c r="D45" s="1279" t="s">
        <v>484</v>
      </c>
      <c r="E45" s="2271"/>
      <c r="F45" s="2271"/>
      <c r="G45" s="2271"/>
      <c r="H45" s="2271"/>
      <c r="I45" s="2291"/>
      <c r="J45" s="2268" t="str">
        <f>I44&amp;".1"</f>
        <v>1.1.1.1.1</v>
      </c>
      <c r="K45" s="1279"/>
      <c r="L45" s="1280" t="s">
        <v>397</v>
      </c>
      <c r="P45" s="2269"/>
      <c r="Q45" s="2269">
        <v>1</v>
      </c>
      <c r="R45" s="282"/>
      <c r="S45" s="1274" t="str">
        <f>$J45</f>
        <v>1.1.1.1.1</v>
      </c>
      <c r="T45" s="204" t="s">
        <v>398</v>
      </c>
      <c r="U45" s="218"/>
      <c r="V45" s="2259"/>
      <c r="W45" s="2260"/>
      <c r="X45" s="2260"/>
      <c r="Y45" s="2260"/>
      <c r="Z45" s="2260"/>
      <c r="AA45" s="2260"/>
      <c r="AB45" s="2261"/>
      <c r="AC45" s="2259" t="s">
        <v>486</v>
      </c>
      <c r="AD45" s="2260"/>
      <c r="AE45" s="2260"/>
      <c r="AF45" s="2260"/>
      <c r="AG45" s="2260"/>
      <c r="AH45" s="2260"/>
      <c r="AI45" s="2260"/>
      <c r="AJ45" s="2259"/>
      <c r="AK45" s="2260"/>
      <c r="AL45" s="2260"/>
      <c r="AM45" s="2260"/>
      <c r="AN45" s="2260"/>
      <c r="AO45" s="2260"/>
      <c r="AP45" s="2261"/>
      <c r="AQ45" s="2261"/>
      <c r="AR45" s="1226" t="s">
        <v>473</v>
      </c>
      <c r="AT45" s="426"/>
      <c r="AU45" s="426" t="str">
        <f t="shared" si="1"/>
        <v>Группа потребителей</v>
      </c>
      <c r="AV45" s="426"/>
      <c r="AW45" s="426"/>
    </row>
    <row r="46" spans="1:49" ht="23.25" customHeight="1">
      <c r="A46" s="1279" t="s">
        <v>212</v>
      </c>
      <c r="B46" s="1279" t="s">
        <v>213</v>
      </c>
      <c r="C46" s="1279" t="s">
        <v>214</v>
      </c>
      <c r="D46" s="1279" t="s">
        <v>484</v>
      </c>
      <c r="E46" s="2271"/>
      <c r="F46" s="2271"/>
      <c r="G46" s="2271"/>
      <c r="H46" s="2271"/>
      <c r="I46" s="2291"/>
      <c r="J46" s="2291"/>
      <c r="K46" s="2268" t="str">
        <f>J45&amp;".1"</f>
        <v>1.1.1.1.1.1</v>
      </c>
      <c r="L46" s="1280"/>
      <c r="P46" s="2269"/>
      <c r="Q46" s="2269"/>
      <c r="R46" s="282">
        <v>1</v>
      </c>
      <c r="S46" s="1274" t="str">
        <f>$K46</f>
        <v>1.1.1.1.1.1</v>
      </c>
      <c r="T46" s="1352" t="s">
        <v>487</v>
      </c>
      <c r="U46" s="218"/>
      <c r="V46" s="1946"/>
      <c r="W46" s="1946"/>
      <c r="X46" s="1947"/>
      <c r="Y46" s="2273"/>
      <c r="Z46" s="2124" t="s">
        <v>61</v>
      </c>
      <c r="AA46" s="2292"/>
      <c r="AB46" s="2124" t="s">
        <v>61</v>
      </c>
      <c r="AC46" s="668">
        <v>135.81</v>
      </c>
      <c r="AD46" s="668"/>
      <c r="AE46" s="1176"/>
      <c r="AF46" s="2273">
        <v>45292.696388888886</v>
      </c>
      <c r="AG46" s="2124" t="s">
        <v>61</v>
      </c>
      <c r="AH46" s="2292">
        <v>45473.696701388886</v>
      </c>
      <c r="AI46" s="2124" t="s">
        <v>61</v>
      </c>
      <c r="AJ46" s="1946">
        <v>174.02</v>
      </c>
      <c r="AK46" s="1946"/>
      <c r="AL46" s="1947"/>
      <c r="AM46" s="2273">
        <v>45474.697546296295</v>
      </c>
      <c r="AN46" s="2124" t="s">
        <v>61</v>
      </c>
      <c r="AO46" s="2292">
        <v>45657.698414351849</v>
      </c>
      <c r="AP46" s="2124" t="s">
        <v>61</v>
      </c>
      <c r="AQ46" s="1353"/>
      <c r="AR46"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6" s="437" t="e">
        <f ca="1">STRCHECKDATE(V47:AQ47)</f>
        <v>#NAME?</v>
      </c>
      <c r="AT46" s="426"/>
      <c r="AU46" s="426" t="str">
        <f t="shared" si="1"/>
        <v>прочие потребители (без учета НДС)</v>
      </c>
      <c r="AV46" s="426"/>
      <c r="AW46" s="426"/>
    </row>
    <row r="47" spans="1:49" ht="0" hidden="1" customHeight="1">
      <c r="A47" s="1279" t="s">
        <v>212</v>
      </c>
      <c r="B47" s="1279" t="s">
        <v>213</v>
      </c>
      <c r="C47" s="1279" t="s">
        <v>214</v>
      </c>
      <c r="D47" s="1279" t="s">
        <v>484</v>
      </c>
      <c r="E47" s="2271"/>
      <c r="F47" s="2271"/>
      <c r="G47" s="2271"/>
      <c r="H47" s="2271"/>
      <c r="I47" s="2291"/>
      <c r="J47" s="2291"/>
      <c r="K47" s="2268"/>
      <c r="L47" s="1280"/>
      <c r="P47" s="2269"/>
      <c r="Q47" s="2269"/>
      <c r="R47" s="282"/>
      <c r="S47" s="1275"/>
      <c r="T47" s="218"/>
      <c r="U47" s="218"/>
      <c r="V47" s="1948"/>
      <c r="W47" s="1948"/>
      <c r="X47" s="1949" t="str">
        <f>Y46&amp;"-"&amp;AA46</f>
        <v>-</v>
      </c>
      <c r="Y47" s="2274"/>
      <c r="Z47" s="2124"/>
      <c r="AA47" s="2293"/>
      <c r="AB47" s="2124"/>
      <c r="AC47" s="250"/>
      <c r="AD47" s="250"/>
      <c r="AE47" s="254" t="str">
        <f>AF46&amp;"-"&amp;AH46</f>
        <v>45292,6963888889-45473,6967013889</v>
      </c>
      <c r="AF47" s="2274"/>
      <c r="AG47" s="2124"/>
      <c r="AH47" s="2293"/>
      <c r="AI47" s="2124"/>
      <c r="AJ47" s="1948"/>
      <c r="AK47" s="1948"/>
      <c r="AL47" s="1949" t="str">
        <f>AM46&amp;"-"&amp;AO46</f>
        <v>45474,6975462963-45657,6984143518</v>
      </c>
      <c r="AM47" s="2274"/>
      <c r="AN47" s="2124"/>
      <c r="AO47" s="2293"/>
      <c r="AP47" s="2124"/>
      <c r="AQ47" s="1354"/>
      <c r="AR47" s="2328"/>
      <c r="AT47" s="426"/>
      <c r="AU47" s="426" t="str">
        <f t="shared" si="1"/>
        <v/>
      </c>
      <c r="AV47" s="426"/>
      <c r="AW47" s="426"/>
    </row>
    <row r="48" spans="1:49" ht="21" customHeight="1">
      <c r="A48" s="1279" t="s">
        <v>212</v>
      </c>
      <c r="B48" s="1279" t="s">
        <v>213</v>
      </c>
      <c r="C48" s="1279" t="s">
        <v>214</v>
      </c>
      <c r="D48" s="1279" t="s">
        <v>484</v>
      </c>
      <c r="E48" s="2271"/>
      <c r="F48" s="2271"/>
      <c r="G48" s="2271"/>
      <c r="H48" s="2271"/>
      <c r="I48" s="2291"/>
      <c r="J48" s="2268"/>
      <c r="K48" s="1279"/>
      <c r="L48" s="1280"/>
      <c r="P48" s="2269"/>
      <c r="Q48" s="2269"/>
      <c r="R48" s="281"/>
      <c r="S48" s="1198"/>
      <c r="T48" s="205" t="s">
        <v>474</v>
      </c>
      <c r="U48" s="295"/>
      <c r="V48" s="295"/>
      <c r="W48" s="295"/>
      <c r="X48" s="295"/>
      <c r="Y48" s="295"/>
      <c r="Z48" s="295"/>
      <c r="AA48" s="295"/>
      <c r="AB48" s="295"/>
      <c r="AC48" s="295"/>
      <c r="AD48" s="295"/>
      <c r="AE48" s="295"/>
      <c r="AF48" s="295"/>
      <c r="AG48" s="295"/>
      <c r="AH48" s="295"/>
      <c r="AI48" s="295"/>
      <c r="AJ48" s="1983"/>
      <c r="AK48" s="1984"/>
      <c r="AL48" s="1985"/>
      <c r="AM48" s="1986"/>
      <c r="AN48" s="1987"/>
      <c r="AO48" s="1988"/>
      <c r="AP48" s="1989"/>
      <c r="AQ48" s="295"/>
      <c r="AR48" s="1177" t="s">
        <v>475</v>
      </c>
      <c r="AT48" s="426"/>
      <c r="AU48" s="426" t="str">
        <f t="shared" si="1"/>
        <v>Добавить значение признака дифференциации</v>
      </c>
      <c r="AV48" s="426"/>
      <c r="AW48" s="426"/>
    </row>
    <row r="49" spans="1:49" ht="21" customHeight="1">
      <c r="A49" s="1279" t="s">
        <v>212</v>
      </c>
      <c r="B49" s="1279" t="s">
        <v>213</v>
      </c>
      <c r="C49" s="1279" t="s">
        <v>214</v>
      </c>
      <c r="D49" s="1279" t="s">
        <v>484</v>
      </c>
      <c r="E49" s="2271"/>
      <c r="F49" s="2271"/>
      <c r="G49" s="2271"/>
      <c r="H49" s="2271"/>
      <c r="I49" s="2268"/>
      <c r="J49" s="1279"/>
      <c r="K49" s="1279"/>
      <c r="L49" s="1280"/>
      <c r="P49" s="2269"/>
      <c r="Q49" s="1270"/>
      <c r="R49" s="281"/>
      <c r="S49" s="1198"/>
      <c r="T49" s="292" t="s">
        <v>403</v>
      </c>
      <c r="U49" s="295"/>
      <c r="V49" s="295"/>
      <c r="W49" s="295"/>
      <c r="X49" s="295"/>
      <c r="Y49" s="295"/>
      <c r="Z49" s="295"/>
      <c r="AA49" s="295"/>
      <c r="AB49" s="294"/>
      <c r="AC49" s="295"/>
      <c r="AD49" s="295"/>
      <c r="AE49" s="295"/>
      <c r="AF49" s="295"/>
      <c r="AG49" s="295"/>
      <c r="AH49" s="295"/>
      <c r="AI49" s="294"/>
      <c r="AJ49" s="1990"/>
      <c r="AK49" s="1991"/>
      <c r="AL49" s="1992"/>
      <c r="AM49" s="1993"/>
      <c r="AN49" s="1994"/>
      <c r="AO49" s="1995"/>
      <c r="AP49" s="1996"/>
      <c r="AQ49" s="295"/>
      <c r="AR49" s="1355"/>
      <c r="AT49" s="426"/>
      <c r="AU49" s="426" t="str">
        <f t="shared" si="1"/>
        <v>Добавить группу потребителей</v>
      </c>
      <c r="AV49" s="426"/>
      <c r="AW49" s="426"/>
    </row>
    <row r="50" spans="1:49" ht="21" customHeight="1">
      <c r="A50" s="1279" t="s">
        <v>212</v>
      </c>
      <c r="B50" s="1279" t="s">
        <v>213</v>
      </c>
      <c r="C50" s="1279" t="s">
        <v>214</v>
      </c>
      <c r="D50" s="1279" t="s">
        <v>484</v>
      </c>
      <c r="E50" s="2271"/>
      <c r="F50" s="2271"/>
      <c r="G50" s="2271"/>
      <c r="H50" s="2270"/>
      <c r="I50" s="1279"/>
      <c r="J50" s="1279"/>
      <c r="K50" s="1279"/>
      <c r="L50" s="1280"/>
      <c r="M50" s="1281"/>
      <c r="N50" s="1281"/>
      <c r="O50" s="462"/>
      <c r="P50" s="285"/>
      <c r="Q50" s="304"/>
      <c r="R50" s="280"/>
      <c r="S50" s="1198"/>
      <c r="T50" s="300" t="s">
        <v>476</v>
      </c>
      <c r="U50" s="295"/>
      <c r="V50" s="295"/>
      <c r="W50" s="295"/>
      <c r="X50" s="295"/>
      <c r="Y50" s="295"/>
      <c r="Z50" s="295"/>
      <c r="AA50" s="295"/>
      <c r="AB50" s="294"/>
      <c r="AC50" s="295"/>
      <c r="AD50" s="295"/>
      <c r="AE50" s="295"/>
      <c r="AF50" s="295"/>
      <c r="AG50" s="295"/>
      <c r="AH50" s="295"/>
      <c r="AI50" s="294"/>
      <c r="AJ50" s="1997"/>
      <c r="AK50" s="1998"/>
      <c r="AL50" s="1999"/>
      <c r="AM50" s="2000"/>
      <c r="AN50" s="2001"/>
      <c r="AO50" s="2002"/>
      <c r="AP50" s="2003"/>
      <c r="AQ50" s="295"/>
      <c r="AR50" s="221"/>
      <c r="AT50" s="426"/>
      <c r="AU50" s="426" t="str">
        <f t="shared" si="1"/>
        <v>Добавить наименование признака дифференциации</v>
      </c>
      <c r="AV50" s="426"/>
      <c r="AW50" s="426"/>
    </row>
    <row r="51" spans="1:49" s="1930" customFormat="1" ht="0" hidden="1" customHeight="1">
      <c r="A51" s="1260" t="s">
        <v>212</v>
      </c>
      <c r="B51" s="1260" t="s">
        <v>213</v>
      </c>
      <c r="C51" s="1232"/>
      <c r="D51" s="1232"/>
      <c r="E51" s="2271"/>
      <c r="F51" s="2270"/>
      <c r="G51" s="1232"/>
      <c r="H51" s="1232"/>
      <c r="I51" s="1232"/>
      <c r="J51" s="1232"/>
      <c r="K51" s="1232"/>
      <c r="L51" s="1341"/>
      <c r="M51" s="1239"/>
      <c r="N51" s="1239"/>
      <c r="P51" s="1234"/>
      <c r="Q51" s="1235"/>
      <c r="R51" s="1234"/>
      <c r="S51" s="1240"/>
      <c r="T51" s="1243" t="s">
        <v>215</v>
      </c>
      <c r="U51" s="1242"/>
      <c r="V51" s="1242"/>
      <c r="W51" s="1242"/>
      <c r="X51" s="1242"/>
      <c r="Y51" s="1242"/>
      <c r="Z51" s="1242"/>
      <c r="AA51" s="1242"/>
      <c r="AB51" s="1242"/>
      <c r="AC51" s="1242"/>
      <c r="AD51" s="1242"/>
      <c r="AE51" s="1242"/>
      <c r="AF51" s="1242"/>
      <c r="AG51" s="1242"/>
      <c r="AH51" s="1242"/>
      <c r="AI51" s="1242"/>
      <c r="AJ51" s="1971"/>
      <c r="AK51" s="1971"/>
      <c r="AL51" s="1971"/>
      <c r="AM51" s="1971"/>
      <c r="AN51" s="1971"/>
      <c r="AO51" s="1971"/>
      <c r="AP51" s="1971"/>
      <c r="AQ51" s="1242"/>
      <c r="AR51" s="1242"/>
      <c r="AT51" s="706"/>
      <c r="AU51" s="706" t="str">
        <f t="shared" si="1"/>
        <v>Добавить централизованную систему для дифференциации</v>
      </c>
      <c r="AV51" s="706"/>
      <c r="AW51" s="706"/>
    </row>
    <row r="52" spans="1:49" s="1820" customFormat="1" ht="0" hidden="1" customHeight="1">
      <c r="A52" s="1260" t="s">
        <v>212</v>
      </c>
      <c r="B52" s="1260"/>
      <c r="C52" s="1260"/>
      <c r="D52" s="1260"/>
      <c r="E52" s="2270"/>
      <c r="F52" s="1260"/>
      <c r="G52" s="1260"/>
      <c r="H52" s="1260"/>
      <c r="I52" s="1260"/>
      <c r="J52" s="1260"/>
      <c r="K52" s="1260"/>
      <c r="L52" s="1263"/>
      <c r="M52" s="1239"/>
      <c r="N52" s="1239"/>
      <c r="O52" s="444"/>
      <c r="P52" s="313"/>
      <c r="Q52" s="1261"/>
      <c r="R52" s="313"/>
      <c r="S52" s="1240"/>
      <c r="T52" s="1243" t="s">
        <v>216</v>
      </c>
      <c r="U52" s="1242"/>
      <c r="V52" s="1242"/>
      <c r="W52" s="1242"/>
      <c r="X52" s="1242"/>
      <c r="Y52" s="1242"/>
      <c r="Z52" s="1242"/>
      <c r="AA52" s="1242"/>
      <c r="AB52" s="1242"/>
      <c r="AC52" s="1242"/>
      <c r="AD52" s="1242"/>
      <c r="AE52" s="1242"/>
      <c r="AF52" s="1242"/>
      <c r="AG52" s="1242"/>
      <c r="AH52" s="1242"/>
      <c r="AI52" s="1242"/>
      <c r="AJ52" s="1971"/>
      <c r="AK52" s="1971"/>
      <c r="AL52" s="1971"/>
      <c r="AM52" s="1971"/>
      <c r="AN52" s="1971"/>
      <c r="AO52" s="1971"/>
      <c r="AP52" s="1971"/>
      <c r="AQ52" s="1242"/>
      <c r="AR52" s="1242"/>
      <c r="AT52" s="426"/>
      <c r="AU52" s="426" t="str">
        <f t="shared" si="1"/>
        <v>Добавить территорию для дифференциации</v>
      </c>
      <c r="AV52" s="426"/>
      <c r="AW52" s="426"/>
    </row>
    <row r="53" spans="1:49" s="1930" customFormat="1" ht="0" hidden="1" customHeight="1">
      <c r="A53" s="1232"/>
      <c r="B53" s="1232"/>
      <c r="C53" s="1232"/>
      <c r="D53" s="1232"/>
      <c r="E53" s="1260"/>
      <c r="F53" s="1232"/>
      <c r="G53" s="1232"/>
      <c r="H53" s="1232"/>
      <c r="I53" s="1232"/>
      <c r="J53" s="1232"/>
      <c r="K53" s="1232"/>
      <c r="L53" s="1341"/>
      <c r="M53" s="1239"/>
      <c r="N53" s="1239"/>
      <c r="P53" s="1234"/>
      <c r="Q53" s="1235"/>
      <c r="R53" s="1234"/>
      <c r="S53" s="1240"/>
      <c r="T53" s="1243" t="s">
        <v>217</v>
      </c>
      <c r="U53" s="1242"/>
      <c r="V53" s="1242"/>
      <c r="W53" s="1242"/>
      <c r="X53" s="1242"/>
      <c r="Y53" s="1242"/>
      <c r="Z53" s="1242"/>
      <c r="AA53" s="1242"/>
      <c r="AB53" s="1242"/>
      <c r="AC53" s="1242"/>
      <c r="AD53" s="1242"/>
      <c r="AE53" s="1242"/>
      <c r="AF53" s="1242"/>
      <c r="AG53" s="1242"/>
      <c r="AH53" s="1242"/>
      <c r="AI53" s="1242"/>
      <c r="AJ53" s="1971"/>
      <c r="AK53" s="1971"/>
      <c r="AL53" s="1971"/>
      <c r="AM53" s="1971"/>
      <c r="AN53" s="1971"/>
      <c r="AO53" s="1971"/>
      <c r="AP53" s="1971"/>
      <c r="AQ53" s="1242"/>
      <c r="AR53" s="1242"/>
      <c r="AT53" s="706"/>
      <c r="AU53" s="706" t="str">
        <f t="shared" si="1"/>
        <v>Добавить наименование тарифа</v>
      </c>
      <c r="AV53" s="706"/>
      <c r="AW53" s="706"/>
    </row>
    <row r="54" spans="1:49" ht="11.25" customHeight="1">
      <c r="M54" s="1060"/>
      <c r="N54" s="1060"/>
      <c r="O54" s="462"/>
      <c r="P54" s="1055"/>
      <c r="Q54" s="1055"/>
      <c r="R54" s="1055"/>
      <c r="S54" s="1055"/>
      <c r="AJ54" s="1945"/>
      <c r="AK54" s="1945"/>
      <c r="AL54" s="1945"/>
      <c r="AM54" s="1945"/>
      <c r="AN54" s="1945"/>
      <c r="AO54" s="1945"/>
      <c r="AP54" s="1945"/>
      <c r="AS54" s="1055"/>
      <c r="AT54" s="1055"/>
      <c r="AU54" s="1055"/>
      <c r="AV54" s="1055"/>
      <c r="AW54" s="1055"/>
    </row>
    <row r="55" spans="1:49" ht="14.25" customHeight="1">
      <c r="O55" s="462"/>
      <c r="S55" s="1164"/>
      <c r="T55" s="2290"/>
      <c r="U55" s="2290"/>
      <c r="V55" s="2290"/>
      <c r="W55" s="2290"/>
      <c r="X55" s="2290"/>
      <c r="Y55" s="2290"/>
      <c r="Z55" s="2290"/>
      <c r="AA55" s="2290"/>
      <c r="AB55" s="2290"/>
      <c r="AC55" s="2290"/>
      <c r="AD55" s="2290"/>
      <c r="AE55" s="2290"/>
      <c r="AF55" s="2290"/>
      <c r="AG55" s="2290"/>
      <c r="AH55" s="2290"/>
      <c r="AI55" s="2290"/>
      <c r="AJ55" s="2290"/>
      <c r="AK55" s="2290"/>
      <c r="AL55" s="2290"/>
      <c r="AM55" s="2290"/>
      <c r="AN55" s="2290"/>
      <c r="AO55" s="2290"/>
      <c r="AP55" s="2290"/>
      <c r="AQ55" s="2290"/>
      <c r="AR55" s="2290"/>
    </row>
    <row r="56" spans="1:49" ht="14.25" customHeight="1">
      <c r="O56" s="462"/>
      <c r="AJ56" s="1945"/>
      <c r="AK56" s="1945"/>
      <c r="AL56" s="1945"/>
      <c r="AM56" s="1945"/>
      <c r="AN56" s="1945"/>
      <c r="AO56" s="1945"/>
      <c r="AP56" s="1945"/>
    </row>
    <row r="57" spans="1:49" ht="14.25" customHeight="1">
      <c r="O57" s="462"/>
      <c r="S57" s="1164"/>
      <c r="T57" s="2290"/>
      <c r="U57" s="2290"/>
      <c r="V57" s="2290"/>
      <c r="W57" s="2290"/>
      <c r="X57" s="2290"/>
      <c r="Y57" s="2290"/>
      <c r="Z57" s="2290"/>
      <c r="AA57" s="2290"/>
      <c r="AB57" s="2290"/>
      <c r="AC57" s="2290"/>
      <c r="AD57" s="2290"/>
      <c r="AE57" s="2290"/>
      <c r="AF57" s="2290"/>
      <c r="AG57" s="2290"/>
      <c r="AH57" s="2290"/>
      <c r="AI57" s="2290"/>
      <c r="AJ57" s="2290"/>
      <c r="AK57" s="2290"/>
      <c r="AL57" s="2290"/>
      <c r="AM57" s="2290"/>
      <c r="AN57" s="2290"/>
      <c r="AO57" s="2290"/>
      <c r="AP57" s="2290"/>
      <c r="AQ57" s="2290"/>
      <c r="AR57" s="2290"/>
    </row>
  </sheetData>
  <sheetProtection formatColumns="0" formatRows="0" insertRows="0" deleteColumns="0" deleteRows="0" sort="0" autoFilter="0"/>
  <mergeCells count="122">
    <mergeCell ref="AJ29:AO29"/>
    <mergeCell ref="AJ30:AO30"/>
    <mergeCell ref="AJ32:AO32"/>
    <mergeCell ref="AJ33:AO33"/>
    <mergeCell ref="AJ35:AP35"/>
    <mergeCell ref="AJ37:AO37"/>
    <mergeCell ref="AP37:AP39"/>
    <mergeCell ref="AK38:AL38"/>
    <mergeCell ref="AM38:AO38"/>
    <mergeCell ref="AN39:AO39"/>
    <mergeCell ref="E2:E13"/>
    <mergeCell ref="V2:AB2"/>
    <mergeCell ref="AC2:AQ2"/>
    <mergeCell ref="F3:F12"/>
    <mergeCell ref="V3:AB3"/>
    <mergeCell ref="AC3:AQ3"/>
    <mergeCell ref="G4:G11"/>
    <mergeCell ref="V4:AB4"/>
    <mergeCell ref="AC4:AQ4"/>
    <mergeCell ref="H5:H11"/>
    <mergeCell ref="AI7:AI8"/>
    <mergeCell ref="K7:K8"/>
    <mergeCell ref="Y7:Y8"/>
    <mergeCell ref="Z7:Z8"/>
    <mergeCell ref="AA7:AA8"/>
    <mergeCell ref="AB7:AB8"/>
    <mergeCell ref="I5:I10"/>
    <mergeCell ref="P5:P10"/>
    <mergeCell ref="V5:AB5"/>
    <mergeCell ref="AC5:AQ5"/>
    <mergeCell ref="J6:J9"/>
    <mergeCell ref="Q6:Q9"/>
    <mergeCell ref="V6:AB6"/>
    <mergeCell ref="AC6:AQ6"/>
    <mergeCell ref="AR7:AR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M7:AM8"/>
    <mergeCell ref="AN7:AN8"/>
    <mergeCell ref="AO7:AO8"/>
    <mergeCell ref="AP7:AP8"/>
    <mergeCell ref="AJ27:AO27"/>
    <mergeCell ref="AJ28:AO28"/>
    <mergeCell ref="AC29:AH29"/>
    <mergeCell ref="S30:T30"/>
    <mergeCell ref="V30:AA30"/>
    <mergeCell ref="AC30:AH30"/>
    <mergeCell ref="V35:AB35"/>
    <mergeCell ref="AC35:AI35"/>
    <mergeCell ref="S36:AQ36"/>
    <mergeCell ref="AR36:AR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Q37:AQ39"/>
    <mergeCell ref="W38:X38"/>
    <mergeCell ref="E41:E52"/>
    <mergeCell ref="V41:AB41"/>
    <mergeCell ref="AC41:AQ41"/>
    <mergeCell ref="F42:F51"/>
    <mergeCell ref="V42:AB42"/>
    <mergeCell ref="AC42:AQ42"/>
    <mergeCell ref="G43:G50"/>
    <mergeCell ref="Y38:AA38"/>
    <mergeCell ref="AD38:AE38"/>
    <mergeCell ref="AF38:AH38"/>
    <mergeCell ref="Z39:AA39"/>
    <mergeCell ref="H44:H50"/>
    <mergeCell ref="I44:I49"/>
    <mergeCell ref="P44:P49"/>
    <mergeCell ref="V44:AB44"/>
    <mergeCell ref="AC44:AQ44"/>
    <mergeCell ref="J45:J48"/>
    <mergeCell ref="AG39:AH39"/>
    <mergeCell ref="Z40:AA40"/>
    <mergeCell ref="AG40:AH40"/>
    <mergeCell ref="K46:K47"/>
    <mergeCell ref="V43:AB43"/>
    <mergeCell ref="AC43:AQ43"/>
    <mergeCell ref="AN40:AO40"/>
    <mergeCell ref="T55:AR55"/>
    <mergeCell ref="T57:AR57"/>
    <mergeCell ref="Q45:Q48"/>
    <mergeCell ref="V45:AB45"/>
    <mergeCell ref="AC45:AQ45"/>
    <mergeCell ref="AF46:AF47"/>
    <mergeCell ref="AG46:AG47"/>
    <mergeCell ref="AR46:AR47"/>
    <mergeCell ref="AH46:AH47"/>
    <mergeCell ref="AI46:AI47"/>
    <mergeCell ref="AN46:AN47"/>
    <mergeCell ref="AO46:AO47"/>
    <mergeCell ref="AM46:AM47"/>
    <mergeCell ref="AP46:AP47"/>
    <mergeCell ref="Z46:Z47"/>
    <mergeCell ref="AA46:AA47"/>
    <mergeCell ref="Y46:Y47"/>
    <mergeCell ref="AB46:AB47"/>
  </mergeCells>
  <dataValidations count="8">
    <dataValidation type="list" allowBlank="1" showInputMessage="1" errorTitle="Ошибка" error="Выберите значение из списка" prompt="Выберите значение из списка" sqref="V983081:AQ983081 V65577:AQ65577 V131113:AQ131113 V196649:AQ196649 V262185:AQ262185 V327721:AQ327721 V393257:AQ393257 V458793:AQ458793 V524329:AQ524329 V589865:AQ589865 V655401:AQ655401 V720937:AQ720937 V786473:AQ786473 V852009:AQ852009 V917545:AQ917545" xr:uid="{00000000-0002-0000-1200-000000000000}">
      <formula1>kind_of_cons</formula1>
    </dataValidation>
    <dataValidation allowBlank="1" sqref="S131116:AR131122 S196652:AR196658 S262188:AR262194 S327724:AR327730 S393260:AR393266 S458796:AR458802 S524332:AR524338 S589868:AR589874 S655404:AR655410 S720940:AR720946 S786476:AR786482 S852012:AR852018 S917548:AR917554 S983084:AR983090 S65580:AR65586" xr:uid="{00000000-0002-0000-12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AP524330 AI196650:AP196650 AI589866:AP589866 AI655402:AP655402 AI15 AI720938:AP720938 AI786474:AP786474 AI852010:AP852010 AI917546:AP917546 AI983082:AP983082 AI65578:AP65578 AI131114:AP131114 AI458794:AP458794 AI262186:AP262186 AI7 AN7 AP7 AG46 AI327722:AP327722 AG15 AG7 Z7 AB7 AI393258:AP393258 AI46 AN46 AP46 Z46 AB46" xr:uid="{00000000-0002-0000-12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M7 AO7 AM46 AO46" xr:uid="{00000000-0002-0000-12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200-000004000000}">
      <formula1>kind_of_heat_transfer</formula1>
    </dataValidation>
    <dataValidation type="textLength" operator="lessThanOrEqual" allowBlank="1" showInputMessage="1" showErrorMessage="1" errorTitle="Ошибка" error="Допускается ввод не более 900 символов!" sqref="AR65572:AR65579 AR131108:AR131115 AR196644:AR196651 AR262180:AR262187 AR327716:AR327723 AR393252:AR393259 AR458788:AR458795 AR524324:AR524331 AR589860:AR589867 AR655396:AR655403 AR720932:AR720939 AR786468:AR786475 AR852004:AR852011 AR917540:AR917547 AR983076:AR983083 T46 T7 AC5:AI5 AQ5 AC44:AI44 AQ44" xr:uid="{00000000-0002-0000-12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2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8 AL47"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B42C6-31AA-4262-BDB5-C2BE8D918141}">
  <sheetPr>
    <tabColor rgb="FFCCCCFF"/>
  </sheetPr>
  <dimension ref="A1:P78"/>
  <sheetViews>
    <sheetView showGridLines="0" tabSelected="1" topLeftCell="C1" zoomScaleNormal="100" workbookViewId="0">
      <selection activeCell="L69" sqref="L69"/>
    </sheetView>
  </sheetViews>
  <sheetFormatPr defaultColWidth="9.140625" defaultRowHeight="11.25" customHeight="1"/>
  <cols>
    <col min="1" max="1" width="10.7109375" style="1805" hidden="1" customWidth="1"/>
    <col min="2" max="2" width="10.7109375" style="1802" hidden="1" customWidth="1"/>
    <col min="3" max="3" width="3.7109375" style="1816" customWidth="1"/>
    <col min="4" max="4" width="1.7109375" style="1817" customWidth="1"/>
    <col min="5" max="5" width="55.28515625" style="1817" customWidth="1"/>
    <col min="6" max="6" width="50.7109375" style="1817" customWidth="1"/>
    <col min="7" max="7" width="1.7109375" style="1806" customWidth="1"/>
    <col min="8" max="8" width="18" style="1807" hidden="1" customWidth="1"/>
    <col min="9" max="9" width="9.5703125" style="1800" customWidth="1"/>
    <col min="10" max="10" width="52.140625" style="1808" hidden="1" customWidth="1"/>
    <col min="11" max="11" width="9.140625" style="1817"/>
    <col min="12" max="12" width="78" style="1817" customWidth="1"/>
    <col min="13" max="16" width="9.140625" style="1817"/>
  </cols>
  <sheetData>
    <row r="1" spans="1:11" s="1799" customFormat="1" ht="3" customHeight="1">
      <c r="A1" s="700"/>
      <c r="B1" s="159"/>
      <c r="F1" s="160">
        <v>26354809</v>
      </c>
      <c r="G1" s="345"/>
      <c r="H1" s="7"/>
      <c r="I1" s="345"/>
      <c r="J1" s="784"/>
    </row>
    <row r="2" spans="1:11" s="1801" customFormat="1" ht="14.25" customHeight="1">
      <c r="A2" s="700"/>
      <c r="B2" s="31"/>
      <c r="E2" s="1649" t="str">
        <f>code</f>
        <v>Код отчёта: PP108.OPEN.INFO.PRICE.COLDVSNA.EIAS</v>
      </c>
      <c r="F2" s="187"/>
      <c r="G2" s="163"/>
      <c r="H2" s="163"/>
      <c r="I2" s="163"/>
      <c r="J2" s="785"/>
      <c r="K2" s="163"/>
    </row>
    <row r="3" spans="1:11" ht="14.25" customHeight="1">
      <c r="E3" s="164" t="str">
        <f>version</f>
        <v>Версия отчёта: 1.0.5</v>
      </c>
      <c r="F3" s="187"/>
      <c r="G3" s="687"/>
      <c r="H3" s="687"/>
      <c r="I3" s="687"/>
      <c r="J3" s="786"/>
      <c r="K3" s="22"/>
    </row>
    <row r="4" spans="1:11" s="1804" customFormat="1" ht="6" customHeight="1">
      <c r="A4" s="701"/>
      <c r="B4" s="151"/>
      <c r="C4" s="152"/>
      <c r="D4" s="153"/>
      <c r="E4" s="161"/>
      <c r="F4" s="162"/>
      <c r="G4" s="688"/>
      <c r="H4" s="343"/>
      <c r="I4" s="345"/>
      <c r="J4" s="787"/>
    </row>
    <row r="5" spans="1:11" ht="37.5" customHeight="1">
      <c r="D5" s="9"/>
      <c r="E5" s="2114" t="str">
        <f>NameTemplatesInTitle</f>
        <v>Показатели, подлежащие раскрытию в сфере холодного водоснабжения (цены и тарифы)</v>
      </c>
      <c r="F5" s="2115"/>
      <c r="G5" s="689"/>
      <c r="J5" s="788"/>
    </row>
    <row r="6" spans="1:11" s="1804" customFormat="1" ht="6" customHeight="1">
      <c r="A6" s="701"/>
      <c r="B6" s="151"/>
      <c r="C6" s="152"/>
      <c r="D6" s="153"/>
      <c r="E6" s="155"/>
      <c r="F6" s="156"/>
      <c r="G6" s="689"/>
      <c r="H6" s="343"/>
      <c r="I6" s="345"/>
      <c r="J6" s="787"/>
    </row>
    <row r="7" spans="1:11" ht="19.5" customHeight="1">
      <c r="D7" s="9"/>
      <c r="E7" s="325" t="s">
        <v>13</v>
      </c>
      <c r="F7" s="136" t="s">
        <v>14</v>
      </c>
      <c r="G7" s="689"/>
    </row>
    <row r="8" spans="1:11" s="1804" customFormat="1" ht="6" customHeight="1">
      <c r="A8" s="702"/>
      <c r="B8" s="151"/>
      <c r="C8" s="152"/>
      <c r="D8" s="157"/>
      <c r="E8" s="155"/>
      <c r="F8" s="158"/>
      <c r="G8" s="11"/>
      <c r="H8" s="343"/>
      <c r="I8" s="345"/>
      <c r="J8" s="790"/>
    </row>
    <row r="9" spans="1:11" s="1807" customFormat="1" ht="19.5" hidden="1" customHeight="1">
      <c r="A9" s="701"/>
      <c r="B9" s="31"/>
      <c r="C9" s="342"/>
      <c r="D9" s="344"/>
      <c r="E9" s="1065" t="s">
        <v>15</v>
      </c>
      <c r="F9" s="1051"/>
      <c r="G9" s="689"/>
      <c r="I9" s="345"/>
      <c r="J9" s="789"/>
    </row>
    <row r="10" spans="1:11" s="1809" customFormat="1" ht="6" customHeight="1">
      <c r="A10" s="702"/>
      <c r="B10" s="359"/>
      <c r="C10" s="360"/>
      <c r="D10" s="157"/>
      <c r="E10" s="155"/>
      <c r="F10" s="158"/>
      <c r="G10" s="11"/>
      <c r="H10" s="343"/>
      <c r="I10" s="345"/>
      <c r="J10" s="790"/>
    </row>
    <row r="11" spans="1:11" ht="22.5" customHeight="1">
      <c r="A11" s="2117" t="s">
        <v>16</v>
      </c>
      <c r="D11" s="9"/>
      <c r="E11" s="1065" t="s">
        <v>17</v>
      </c>
      <c r="F11" s="1810">
        <v>44927.675127314818</v>
      </c>
      <c r="G11" s="11"/>
      <c r="H11" s="690" t="s">
        <v>18</v>
      </c>
      <c r="J11" s="789" t="s">
        <v>19</v>
      </c>
    </row>
    <row r="12" spans="1:11" ht="22.5" customHeight="1">
      <c r="A12" s="2117"/>
      <c r="D12" s="9"/>
      <c r="E12" s="1065" t="s">
        <v>20</v>
      </c>
      <c r="F12" s="1810">
        <v>46752.675324074073</v>
      </c>
      <c r="G12" s="8"/>
      <c r="J12" s="789" t="s">
        <v>21</v>
      </c>
    </row>
    <row r="13" spans="1:11" s="1807" customFormat="1" ht="22.5" hidden="1" customHeight="1">
      <c r="A13" s="705" t="s">
        <v>22</v>
      </c>
      <c r="B13" s="31"/>
      <c r="C13" s="342"/>
      <c r="D13" s="344"/>
      <c r="E13" s="1685" t="s">
        <v>23</v>
      </c>
      <c r="F13" s="1642" t="s">
        <v>24</v>
      </c>
      <c r="G13" s="11"/>
      <c r="H13" s="687"/>
      <c r="I13" s="345"/>
      <c r="J13" s="1686" t="s">
        <v>25</v>
      </c>
    </row>
    <row r="14" spans="1:11" s="1807" customFormat="1" ht="27" hidden="1" customHeight="1">
      <c r="A14" s="705" t="s">
        <v>26</v>
      </c>
      <c r="B14" s="31"/>
      <c r="C14" s="342"/>
      <c r="D14" s="344"/>
      <c r="E14" s="1065" t="s">
        <v>27</v>
      </c>
      <c r="F14" s="1677"/>
      <c r="G14" s="11"/>
      <c r="H14" s="687"/>
      <c r="I14" s="345"/>
      <c r="J14" s="789" t="s">
        <v>28</v>
      </c>
    </row>
    <row r="15" spans="1:11" s="1807" customFormat="1" ht="19.5" hidden="1" customHeight="1">
      <c r="A15" s="705" t="s">
        <v>29</v>
      </c>
      <c r="B15" s="31"/>
      <c r="C15" s="342"/>
      <c r="D15" s="344"/>
      <c r="E15" s="1065" t="s">
        <v>30</v>
      </c>
      <c r="F15" s="1677"/>
      <c r="G15" s="11"/>
      <c r="H15" s="687"/>
      <c r="I15" s="345"/>
      <c r="J15" s="789" t="s">
        <v>31</v>
      </c>
    </row>
    <row r="16" spans="1:11" s="1804" customFormat="1" ht="6" customHeight="1">
      <c r="A16" s="702"/>
      <c r="B16" s="151"/>
      <c r="C16" s="152"/>
      <c r="D16" s="157"/>
      <c r="E16" s="155"/>
      <c r="F16" s="158"/>
      <c r="G16" s="11"/>
      <c r="H16" s="343"/>
      <c r="I16" s="345"/>
      <c r="J16" s="787"/>
    </row>
    <row r="17" spans="1:10" ht="19.5" customHeight="1">
      <c r="D17" s="9"/>
      <c r="E17" s="325" t="s">
        <v>32</v>
      </c>
      <c r="F17" s="1811" t="s">
        <v>33</v>
      </c>
      <c r="G17" s="8"/>
      <c r="H17" s="690" t="s">
        <v>18</v>
      </c>
    </row>
    <row r="18" spans="1:10" ht="25.5" customHeight="1">
      <c r="D18" s="9"/>
      <c r="E18" s="1685" t="s">
        <v>34</v>
      </c>
      <c r="F18" s="1812">
        <v>45278.35769675926</v>
      </c>
      <c r="G18" s="8"/>
      <c r="I18" s="691"/>
      <c r="J18" s="2116" t="s">
        <v>35</v>
      </c>
    </row>
    <row r="19" spans="1:10" ht="25.5" customHeight="1">
      <c r="D19" s="9"/>
      <c r="E19" s="106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812">
        <v>45292</v>
      </c>
      <c r="G19" s="8"/>
      <c r="I19" s="691"/>
      <c r="J19" s="2116"/>
    </row>
    <row r="20" spans="1:10" ht="22.5" customHeight="1">
      <c r="D20" s="9"/>
      <c r="E20" s="10"/>
      <c r="F20" s="188" t="str">
        <f>"Первичное "&amp;IF(TEMPLATE_GROUP="P","установление тарифов","предложение по тарифам")</f>
        <v>Первичное установление тарифов</v>
      </c>
      <c r="G20" s="8"/>
      <c r="I20" s="328"/>
      <c r="J20" s="788" t="s">
        <v>36</v>
      </c>
    </row>
    <row r="21" spans="1:10" ht="19.5" customHeight="1">
      <c r="D21" s="9"/>
      <c r="E21" s="325" t="str">
        <f>"Дата "&amp;IF(TEMPLATE_GROUP="P","документа","подачи заявления")&amp;" об утверждении тарифов"</f>
        <v>Дата документа об утверждении тарифов</v>
      </c>
      <c r="F21" s="1810">
        <v>44881</v>
      </c>
      <c r="G21" s="8"/>
      <c r="I21" s="692"/>
    </row>
    <row r="22" spans="1:10" ht="19.5" customHeight="1">
      <c r="D22" s="9"/>
      <c r="E22" s="325" t="str">
        <f>"Номер "&amp;IF(TEMPLATE_GROUP="P","документа","подачи заявления")&amp;" об утверждении тарифов"</f>
        <v>Номер документа об утверждении тарифов</v>
      </c>
      <c r="F22" s="137" t="s">
        <v>37</v>
      </c>
      <c r="G22" s="8"/>
      <c r="I22" s="692"/>
    </row>
    <row r="23" spans="1:10" ht="22.5" customHeight="1">
      <c r="D23" s="9"/>
      <c r="E23" s="325" t="s">
        <v>38</v>
      </c>
      <c r="F23" s="137" t="s">
        <v>39</v>
      </c>
      <c r="G23" s="8"/>
    </row>
    <row r="24" spans="1:10" ht="19.5" customHeight="1">
      <c r="D24" s="9"/>
      <c r="E24" s="325" t="s">
        <v>40</v>
      </c>
      <c r="F24" s="137" t="s">
        <v>41</v>
      </c>
      <c r="G24" s="8"/>
    </row>
    <row r="25" spans="1:10" ht="22.5" customHeight="1">
      <c r="D25" s="9"/>
      <c r="E25" s="10"/>
      <c r="F25" s="188" t="str">
        <f>"Изменение "&amp;IF(TEMPLATE_GROUP="P","тарифов","предложения по тарифам")</f>
        <v>Изменение тарифов</v>
      </c>
      <c r="G25" s="8"/>
      <c r="J25" s="788" t="s">
        <v>42</v>
      </c>
    </row>
    <row r="26" spans="1:10" ht="19.5" customHeight="1">
      <c r="D26" s="9"/>
      <c r="E26" s="325" t="str">
        <f>"Дата "&amp;IF(TEMPLATE_GROUP="P","принятия решения","подачи заявления")&amp;" об изменении тарифов"</f>
        <v>Дата принятия решения об изменении тарифов</v>
      </c>
      <c r="F26" s="1812">
        <v>45278.357847222222</v>
      </c>
      <c r="G26" s="8"/>
    </row>
    <row r="27" spans="1:10" ht="19.5" customHeight="1">
      <c r="D27" s="9"/>
      <c r="E27" s="1065" t="str">
        <f>"Номер "&amp;IF(TEMPLATE_GROUP="P","принятия решения","заявления")&amp;" об изменении тарифов"</f>
        <v>Номер принятия решения об изменении тарифов</v>
      </c>
      <c r="F27" s="1813" t="s">
        <v>43</v>
      </c>
      <c r="G27" s="8"/>
    </row>
    <row r="28" spans="1:10" ht="24.75" customHeight="1">
      <c r="D28" s="9"/>
      <c r="E28" s="325" t="s">
        <v>44</v>
      </c>
      <c r="F28" s="1813" t="s">
        <v>39</v>
      </c>
      <c r="G28" s="8"/>
    </row>
    <row r="29" spans="1:10" ht="19.5" customHeight="1">
      <c r="D29" s="9"/>
      <c r="E29" s="325" t="s">
        <v>40</v>
      </c>
      <c r="F29" s="1813" t="s">
        <v>41</v>
      </c>
      <c r="G29" s="8"/>
    </row>
    <row r="30" spans="1:10" s="1804" customFormat="1" ht="6" customHeight="1">
      <c r="A30" s="702"/>
      <c r="B30" s="151"/>
      <c r="C30" s="152"/>
      <c r="D30" s="157"/>
      <c r="E30" s="155"/>
      <c r="F30" s="158"/>
      <c r="G30" s="11"/>
      <c r="H30" s="343"/>
      <c r="I30" s="345"/>
      <c r="J30" s="787"/>
    </row>
    <row r="31" spans="1:10" ht="19.5" customHeight="1">
      <c r="C31" s="12"/>
      <c r="D31" s="13"/>
      <c r="E31" s="325" t="s">
        <v>45</v>
      </c>
      <c r="F31" s="138" t="s">
        <v>46</v>
      </c>
      <c r="G31" s="693"/>
    </row>
    <row r="32" spans="1:10" ht="19.5" hidden="1" customHeight="1">
      <c r="C32" s="12"/>
      <c r="D32" s="13"/>
      <c r="E32" s="326" t="s">
        <v>47</v>
      </c>
      <c r="F32" s="1676"/>
      <c r="G32" s="693"/>
    </row>
    <row r="33" spans="1:10" ht="19.5" customHeight="1">
      <c r="C33" s="12"/>
      <c r="D33" s="13"/>
      <c r="E33" s="325" t="s">
        <v>48</v>
      </c>
      <c r="F33" s="138" t="s">
        <v>49</v>
      </c>
      <c r="G33" s="693"/>
    </row>
    <row r="34" spans="1:10" ht="19.5" customHeight="1">
      <c r="C34" s="12"/>
      <c r="D34" s="13"/>
      <c r="E34" s="325" t="s">
        <v>50</v>
      </c>
      <c r="F34" s="138" t="s">
        <v>51</v>
      </c>
      <c r="G34" s="693"/>
      <c r="H34" s="14"/>
    </row>
    <row r="35" spans="1:10" s="1804" customFormat="1" ht="11.25" customHeight="1">
      <c r="A35" s="702"/>
      <c r="B35" s="151"/>
      <c r="C35" s="152"/>
      <c r="D35" s="157"/>
      <c r="E35" s="155"/>
      <c r="F35" s="158"/>
      <c r="G35" s="11"/>
      <c r="H35" s="343"/>
      <c r="I35" s="345"/>
      <c r="J35" s="787"/>
    </row>
    <row r="36" spans="1:10" ht="19.5" hidden="1" customHeight="1">
      <c r="A36" s="792"/>
      <c r="D36" s="13"/>
      <c r="E36" s="325" t="s">
        <v>52</v>
      </c>
      <c r="F36" s="273"/>
      <c r="G36" s="11"/>
    </row>
    <row r="37" spans="1:10" ht="19.5" customHeight="1">
      <c r="A37" s="792"/>
      <c r="D37" s="13"/>
      <c r="E37" s="325" t="s">
        <v>53</v>
      </c>
      <c r="F37" s="1814" t="s">
        <v>54</v>
      </c>
      <c r="G37" s="11"/>
    </row>
    <row r="38" spans="1:10" s="1804" customFormat="1" ht="6" customHeight="1">
      <c r="A38" s="702"/>
      <c r="B38" s="151"/>
      <c r="C38" s="152"/>
      <c r="D38" s="153"/>
      <c r="E38" s="154"/>
      <c r="F38" s="960"/>
      <c r="G38" s="8"/>
      <c r="H38" s="343"/>
      <c r="I38" s="345"/>
      <c r="J38" s="789"/>
    </row>
    <row r="39" spans="1:10" ht="22.5" customHeight="1">
      <c r="A39" s="702"/>
      <c r="D39" s="9"/>
      <c r="E39" s="325" t="s">
        <v>55</v>
      </c>
      <c r="F39" s="629" t="s">
        <v>56</v>
      </c>
      <c r="G39" s="8"/>
      <c r="H39" s="690" t="s">
        <v>18</v>
      </c>
    </row>
    <row r="40" spans="1:10" s="1809" customFormat="1" ht="6" hidden="1" customHeight="1">
      <c r="A40" s="701"/>
      <c r="B40" s="359"/>
      <c r="C40" s="360"/>
      <c r="D40" s="361"/>
      <c r="E40" s="362"/>
      <c r="F40" s="960"/>
      <c r="G40" s="8"/>
      <c r="H40" s="343"/>
      <c r="I40" s="345"/>
      <c r="J40" s="789"/>
    </row>
    <row r="41" spans="1:10" s="1807" customFormat="1" ht="19.5" hidden="1" customHeight="1">
      <c r="A41" s="705" t="s">
        <v>22</v>
      </c>
      <c r="B41" s="347"/>
      <c r="C41" s="342"/>
      <c r="D41" s="344"/>
      <c r="E41" s="325"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29" t="s">
        <v>56</v>
      </c>
      <c r="G41" s="8"/>
      <c r="I41" s="345"/>
      <c r="J41" s="789"/>
    </row>
    <row r="42" spans="1:10" s="1809" customFormat="1" ht="6" hidden="1" customHeight="1">
      <c r="A42" s="701"/>
      <c r="B42" s="359"/>
      <c r="C42" s="360"/>
      <c r="D42" s="361"/>
      <c r="E42" s="362"/>
      <c r="F42" s="960"/>
      <c r="G42" s="8"/>
      <c r="H42" s="343"/>
      <c r="I42" s="345"/>
      <c r="J42" s="787"/>
    </row>
    <row r="43" spans="1:10" s="1807" customFormat="1" ht="22.5" hidden="1" customHeight="1">
      <c r="A43" s="701"/>
      <c r="B43" s="347"/>
      <c r="C43" s="342"/>
      <c r="D43" s="344"/>
      <c r="E43" s="325" t="s">
        <v>57</v>
      </c>
      <c r="F43" s="629" t="s">
        <v>56</v>
      </c>
      <c r="G43" s="8"/>
      <c r="I43" s="345"/>
      <c r="J43" s="789"/>
    </row>
    <row r="44" spans="1:10" s="1807" customFormat="1" ht="22.5" hidden="1" customHeight="1">
      <c r="A44" s="701"/>
      <c r="B44" s="347"/>
      <c r="C44" s="342"/>
      <c r="D44" s="344"/>
      <c r="E44" s="1065" t="s">
        <v>58</v>
      </c>
      <c r="F44" s="1797"/>
      <c r="G44" s="8"/>
      <c r="I44" s="345"/>
      <c r="J44" s="789"/>
    </row>
    <row r="45" spans="1:10" s="1809" customFormat="1" ht="6" hidden="1" customHeight="1">
      <c r="A45" s="701"/>
      <c r="B45" s="359"/>
      <c r="C45" s="360"/>
      <c r="D45" s="361"/>
      <c r="E45" s="362"/>
      <c r="F45" s="960"/>
      <c r="G45" s="8"/>
      <c r="H45" s="343"/>
      <c r="I45" s="345"/>
      <c r="J45" s="789"/>
    </row>
    <row r="46" spans="1:10" s="1809" customFormat="1" ht="22.5" hidden="1" customHeight="1">
      <c r="A46" s="701"/>
      <c r="B46" s="359"/>
      <c r="C46" s="360"/>
      <c r="D46" s="361"/>
      <c r="E46" s="1065" t="s">
        <v>59</v>
      </c>
      <c r="F46" s="629" t="s">
        <v>56</v>
      </c>
      <c r="G46" s="8"/>
      <c r="H46" s="343"/>
      <c r="I46" s="345"/>
      <c r="J46" s="789"/>
    </row>
    <row r="47" spans="1:10" s="1807" customFormat="1" ht="22.5" hidden="1" customHeight="1">
      <c r="A47" s="701"/>
      <c r="B47" s="347"/>
      <c r="C47" s="342"/>
      <c r="D47" s="344"/>
      <c r="E47" s="1065" t="s">
        <v>60</v>
      </c>
      <c r="F47" s="629" t="s">
        <v>56</v>
      </c>
      <c r="G47" s="8"/>
      <c r="I47" s="345"/>
      <c r="J47" s="789"/>
    </row>
    <row r="48" spans="1:10" s="1804" customFormat="1" ht="6" customHeight="1">
      <c r="A48" s="701"/>
      <c r="B48" s="151"/>
      <c r="C48" s="152"/>
      <c r="D48" s="153"/>
      <c r="E48" s="154"/>
      <c r="F48" s="960"/>
      <c r="G48" s="8"/>
      <c r="H48" s="343"/>
      <c r="I48" s="345"/>
      <c r="J48" s="789"/>
    </row>
    <row r="49" spans="1:16" ht="19.5" customHeight="1">
      <c r="B49" s="72"/>
      <c r="D49" s="9"/>
      <c r="E49" s="32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29" t="s">
        <v>61</v>
      </c>
      <c r="G49" s="8"/>
    </row>
    <row r="50" spans="1:16" s="1809" customFormat="1" ht="6" hidden="1" customHeight="1">
      <c r="A50" s="702"/>
      <c r="B50" s="359"/>
      <c r="C50" s="360"/>
      <c r="D50" s="157"/>
      <c r="E50" s="155"/>
      <c r="F50" s="158"/>
      <c r="G50" s="11"/>
      <c r="H50" s="343"/>
      <c r="I50" s="345"/>
      <c r="J50" s="789"/>
    </row>
    <row r="51" spans="1:16" s="1815" customFormat="1" ht="22.5" hidden="1" customHeight="1">
      <c r="A51" s="703"/>
      <c r="B51" s="347"/>
      <c r="C51" s="456"/>
      <c r="D51" s="457"/>
      <c r="E51" s="325" t="s">
        <v>62</v>
      </c>
      <c r="F51" s="629" t="s">
        <v>56</v>
      </c>
      <c r="G51" s="458"/>
      <c r="I51" s="459"/>
      <c r="J51" s="791"/>
      <c r="P51" s="460"/>
    </row>
    <row r="52" spans="1:16" s="1809" customFormat="1" ht="6" hidden="1" customHeight="1">
      <c r="A52" s="702"/>
      <c r="B52" s="359"/>
      <c r="C52" s="360"/>
      <c r="D52" s="157"/>
      <c r="E52" s="155"/>
      <c r="F52" s="158"/>
      <c r="G52" s="11"/>
      <c r="H52" s="343"/>
      <c r="I52" s="345"/>
      <c r="J52" s="787"/>
    </row>
    <row r="53" spans="1:16" s="1815" customFormat="1" ht="22.5" hidden="1" customHeight="1">
      <c r="A53" s="703"/>
      <c r="B53" s="347"/>
      <c r="C53" s="456"/>
      <c r="D53" s="457"/>
      <c r="E53" s="325" t="s">
        <v>63</v>
      </c>
      <c r="F53" s="955" t="s">
        <v>56</v>
      </c>
      <c r="G53" s="458"/>
      <c r="I53" s="459"/>
      <c r="J53" s="791"/>
      <c r="P53" s="460"/>
    </row>
    <row r="54" spans="1:16" s="1815" customFormat="1" ht="22.5" hidden="1" customHeight="1">
      <c r="A54" s="703"/>
      <c r="B54" s="347"/>
      <c r="C54" s="456"/>
      <c r="D54" s="457"/>
      <c r="E54" s="325" t="s">
        <v>64</v>
      </c>
      <c r="F54" s="1684"/>
      <c r="G54" s="458"/>
      <c r="I54" s="459"/>
      <c r="J54" s="791"/>
      <c r="P54" s="460"/>
    </row>
    <row r="55" spans="1:16" s="1809" customFormat="1" ht="6" hidden="1" customHeight="1">
      <c r="A55" s="702"/>
      <c r="B55" s="359"/>
      <c r="C55" s="360"/>
      <c r="D55" s="157"/>
      <c r="E55" s="155"/>
      <c r="F55" s="158"/>
      <c r="G55" s="11"/>
      <c r="H55" s="343"/>
      <c r="I55" s="345"/>
      <c r="J55" s="787"/>
    </row>
    <row r="56" spans="1:16" s="1815" customFormat="1" ht="22.5" hidden="1" customHeight="1">
      <c r="A56" s="703"/>
      <c r="B56" s="347"/>
      <c r="C56" s="456"/>
      <c r="D56" s="457"/>
      <c r="E56" s="325" t="s">
        <v>65</v>
      </c>
      <c r="F56" s="955" t="s">
        <v>56</v>
      </c>
      <c r="G56" s="458"/>
      <c r="I56" s="459"/>
      <c r="J56" s="791"/>
      <c r="P56" s="460"/>
    </row>
    <row r="57" spans="1:16" s="1809" customFormat="1" ht="6" hidden="1" customHeight="1">
      <c r="A57" s="702"/>
      <c r="B57" s="359"/>
      <c r="C57" s="360"/>
      <c r="D57" s="157"/>
      <c r="E57" s="155"/>
      <c r="F57" s="158"/>
      <c r="G57" s="11"/>
      <c r="H57" s="343"/>
      <c r="I57" s="345"/>
      <c r="J57" s="787"/>
    </row>
    <row r="58" spans="1:16" s="1815" customFormat="1" ht="15" hidden="1" customHeight="1">
      <c r="A58" s="703"/>
      <c r="B58" s="347"/>
      <c r="C58" s="456"/>
      <c r="D58" s="457"/>
      <c r="E58" s="325" t="s">
        <v>66</v>
      </c>
      <c r="F58" s="955" t="s">
        <v>61</v>
      </c>
      <c r="G58" s="458"/>
      <c r="I58" s="459"/>
      <c r="J58" s="791"/>
      <c r="P58" s="460"/>
    </row>
    <row r="59" spans="1:16" s="1815" customFormat="1" ht="15" hidden="1" customHeight="1">
      <c r="A59" s="703"/>
      <c r="B59" s="347"/>
      <c r="C59" s="456"/>
      <c r="D59" s="457"/>
      <c r="E59" s="32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091"/>
      <c r="G59" s="458"/>
      <c r="I59" s="459"/>
      <c r="J59" s="791"/>
      <c r="P59" s="460"/>
    </row>
    <row r="60" spans="1:16" s="1815" customFormat="1" ht="15" hidden="1" customHeight="1">
      <c r="A60" s="703"/>
      <c r="B60" s="347"/>
      <c r="C60" s="456"/>
      <c r="D60" s="457"/>
      <c r="E60" s="1065" t="s">
        <v>67</v>
      </c>
      <c r="F60" s="1051"/>
      <c r="G60" s="458"/>
      <c r="I60" s="459"/>
      <c r="J60" s="791"/>
      <c r="P60" s="460"/>
    </row>
    <row r="61" spans="1:16" s="1809" customFormat="1" ht="6" hidden="1" customHeight="1">
      <c r="A61" s="702"/>
      <c r="B61" s="359"/>
      <c r="C61" s="360"/>
      <c r="D61" s="361"/>
      <c r="E61" s="362"/>
      <c r="F61" s="960"/>
      <c r="G61" s="8"/>
      <c r="H61" s="343"/>
      <c r="I61" s="345"/>
      <c r="J61" s="789"/>
    </row>
    <row r="62" spans="1:16" s="1807" customFormat="1" ht="33.75" hidden="1" customHeight="1">
      <c r="A62" s="702"/>
      <c r="B62" s="31"/>
      <c r="C62" s="342"/>
      <c r="D62" s="344"/>
      <c r="E62" s="1065" t="s">
        <v>68</v>
      </c>
      <c r="F62" s="1582" t="s">
        <v>61</v>
      </c>
      <c r="G62" s="8"/>
      <c r="H62" s="690" t="s">
        <v>18</v>
      </c>
      <c r="I62" s="345"/>
      <c r="J62" s="789"/>
    </row>
    <row r="63" spans="1:16" s="1804" customFormat="1" ht="6" customHeight="1">
      <c r="A63" s="702"/>
      <c r="B63" s="151"/>
      <c r="C63" s="152"/>
      <c r="D63" s="157"/>
      <c r="E63" s="155"/>
      <c r="F63" s="158"/>
      <c r="G63" s="11"/>
      <c r="H63" s="343"/>
      <c r="I63" s="345"/>
      <c r="J63" s="787"/>
    </row>
    <row r="64" spans="1:16" ht="19.5" customHeight="1">
      <c r="A64" s="704"/>
      <c r="B64" s="32"/>
      <c r="D64" s="16"/>
      <c r="E64" s="325" t="s">
        <v>69</v>
      </c>
      <c r="F64" s="137" t="s">
        <v>70</v>
      </c>
      <c r="G64" s="11"/>
    </row>
    <row r="65" spans="1:9" ht="19.5" customHeight="1">
      <c r="A65" s="704"/>
      <c r="B65" s="32"/>
      <c r="D65" s="16"/>
      <c r="E65" s="325" t="s">
        <v>71</v>
      </c>
      <c r="F65" s="137" t="s">
        <v>72</v>
      </c>
      <c r="G65" s="11"/>
    </row>
    <row r="66" spans="1:9" ht="35.25" customHeight="1">
      <c r="D66" s="9"/>
      <c r="E66" s="327" t="s">
        <v>73</v>
      </c>
      <c r="F66" s="961"/>
      <c r="G66" s="8"/>
    </row>
    <row r="67" spans="1:9" ht="19.5" customHeight="1">
      <c r="A67" s="704"/>
      <c r="D67" s="344"/>
      <c r="E67" s="325" t="s">
        <v>74</v>
      </c>
      <c r="F67" s="189" t="s">
        <v>75</v>
      </c>
      <c r="G67" s="11"/>
    </row>
    <row r="68" spans="1:9" ht="19.5" customHeight="1">
      <c r="A68" s="704"/>
      <c r="B68" s="32"/>
      <c r="D68" s="16"/>
      <c r="E68" s="325" t="s">
        <v>76</v>
      </c>
      <c r="F68" s="189" t="s">
        <v>77</v>
      </c>
      <c r="G68" s="11"/>
    </row>
    <row r="69" spans="1:9" ht="19.5" customHeight="1">
      <c r="A69" s="704"/>
      <c r="B69" s="32"/>
      <c r="D69" s="16"/>
      <c r="E69" s="325" t="s">
        <v>78</v>
      </c>
      <c r="F69" s="189" t="s">
        <v>79</v>
      </c>
      <c r="G69" s="11"/>
    </row>
    <row r="70" spans="1:9" ht="19.5" customHeight="1">
      <c r="D70" s="344"/>
      <c r="E70" s="325" t="s">
        <v>80</v>
      </c>
      <c r="F70" s="189" t="s">
        <v>81</v>
      </c>
      <c r="G70" s="8"/>
    </row>
    <row r="71" spans="1:9" ht="20.25" customHeight="1">
      <c r="A71" s="704"/>
      <c r="D71" s="8"/>
      <c r="F71" s="59"/>
      <c r="G71" s="11"/>
    </row>
    <row r="72" spans="1:9" ht="19.5" customHeight="1">
      <c r="A72" s="704"/>
      <c r="B72" s="32"/>
      <c r="D72" s="16"/>
      <c r="E72" s="15"/>
      <c r="F72" s="60"/>
      <c r="G72" s="11"/>
    </row>
    <row r="73" spans="1:9" ht="19.5" customHeight="1">
      <c r="A73" s="704"/>
      <c r="B73" s="32"/>
      <c r="D73" s="16"/>
      <c r="E73" s="15"/>
      <c r="F73" s="60"/>
      <c r="G73" s="11"/>
    </row>
    <row r="74" spans="1:9" ht="19.5" customHeight="1">
      <c r="A74" s="704"/>
      <c r="B74" s="32"/>
      <c r="D74" s="16"/>
      <c r="E74" s="20"/>
      <c r="F74" s="60"/>
      <c r="G74" s="11"/>
    </row>
    <row r="75" spans="1:9" ht="19.5" customHeight="1">
      <c r="A75" s="704"/>
      <c r="B75" s="32"/>
      <c r="D75" s="16"/>
      <c r="E75" s="15"/>
      <c r="F75" s="60"/>
      <c r="G75" s="11"/>
    </row>
    <row r="78" spans="1:9" ht="11.25" customHeight="1">
      <c r="E78" s="324"/>
      <c r="F78" s="324"/>
      <c r="G78" s="324"/>
      <c r="H78" s="324"/>
      <c r="I78" s="324"/>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xr:uid="{00000000-0002-0000-0100-000000000000}">
      <formula1>ROIV_INFO_LIST</formula1>
    </dataValidation>
    <dataValidation type="list" allowBlank="1" showInputMessage="1" showErrorMessage="1" errorTitle="Ошибка" error="Выберите значение из списка" prompt="Выберите значение из списка" sqref="F60" xr:uid="{00000000-0002-0000-0100-00000100000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2000000}"/>
    <dataValidation type="list" allowBlank="1" showInputMessage="1" showErrorMessage="1" errorTitle="Ошибка" error="Выберите значение из списка" prompt="Выберите значение из списка" sqref="F15" xr:uid="{00000000-0002-0000-0100-000003000000}">
      <formula1>QUARTER</formula1>
    </dataValidation>
    <dataValidation type="list" allowBlank="1" showInputMessage="1" showErrorMessage="1" errorTitle="Ошибка" error="Выберите значение из списка" prompt="Выберите значение из списка" sqref="F14" xr:uid="{00000000-0002-0000-0100-000004000000}">
      <formula1>year_list</formula1>
    </dataValidation>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xr:uid="{00000000-0002-0000-0100-000006000000}"/>
    <dataValidation type="list" allowBlank="1" showInputMessage="1" showErrorMessage="1" errorTitle="Ошибка" error="Выберите значение из списка" prompt="Выберите значение из списка" sqref="F17" xr:uid="{00000000-0002-0000-0100-000007000000}">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8000000}"/>
    <dataValidation type="list" allowBlank="1" showInputMessage="1" showErrorMessage="1" errorTitle="Ошибка" error="Выберите значение из списка" prompt="Выберите значение из списка" sqref="F37:F38 F61" xr:uid="{00000000-0002-0000-0100-000009000000}">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xr:uid="{00000000-0002-0000-0100-00000A000000}">
      <formula1>900</formula1>
    </dataValidation>
  </dataValidations>
  <hyperlinks>
    <hyperlink ref="H11" location="Титульный!H9" tooltip="Помощь по работе с полями отчётной формы" display="Как заполнить?" xr:uid="{B80AA854-256D-523C-E401-00001F000000}"/>
    <hyperlink ref="H17" location="Титульный!H9" tooltip="Помощь по работе с полями отчётной формы" display="Как заполнить?" xr:uid="{0EB33BB7-2CF2-959D-9D41-D96FD68F2479}"/>
    <hyperlink ref="H39" location="Титульный!H9" tooltip="Помощь по работе с полями отчётной формы" display="Как заполнить?" xr:uid="{C31FE8AF-2E1F-8FFF-7317-65B1AE026891}"/>
    <hyperlink ref="H62" location="Титульный!H9" tooltip="Помощь по работе с полями отчётной формы" display="Как заполнить?" xr:uid="{03641BDB-B33D-3C5B-BE71-503C5B0AAFD5}"/>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37CE9-2A55-3193-4613-2F5B08055EE2}">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4.140625" style="1931" hidden="1" customWidth="1"/>
    <col min="10" max="10" width="9.85546875" style="1931" hidden="1" customWidth="1"/>
    <col min="11" max="11" width="14.7109375" style="1931" hidden="1" customWidth="1"/>
    <col min="12" max="12" width="19.140625" style="2005" hidden="1" customWidth="1"/>
    <col min="13" max="14" width="12.28515625" style="1933" hidden="1" customWidth="1"/>
    <col min="15" max="15" width="23.42578125" style="1933" hidden="1" customWidth="1"/>
    <col min="16" max="16" width="3.7109375" style="2006" customWidth="1"/>
    <col min="17" max="18" width="3.7109375" style="1939" customWidth="1"/>
    <col min="19" max="19" width="12.7109375" style="1940" customWidth="1"/>
    <col min="20" max="20" width="35.7109375" style="1905" customWidth="1"/>
    <col min="21" max="21" width="0.140625" style="1905" customWidth="1"/>
    <col min="22" max="24" width="24.7109375" style="1905" hidden="1" customWidth="1"/>
    <col min="25" max="25" width="11.7109375" style="1905" hidden="1" customWidth="1"/>
    <col min="26" max="26" width="3.7109375" style="1905" hidden="1" customWidth="1"/>
    <col min="27" max="27" width="11.7109375" style="1905" hidden="1" customWidth="1"/>
    <col min="28" max="28" width="8.5703125" style="1905" hidden="1" customWidth="1"/>
    <col min="29" max="31" width="24.7109375" style="1905" customWidth="1"/>
    <col min="32" max="32" width="11.7109375" style="1905" customWidth="1"/>
    <col min="33" max="33" width="3.7109375" style="1905" customWidth="1"/>
    <col min="34" max="34" width="11.7109375" style="1905" customWidth="1"/>
    <col min="35" max="35" width="8.5703125" style="1905" hidden="1" customWidth="1"/>
    <col min="36" max="36" width="4.7109375" style="1905" customWidth="1"/>
    <col min="37" max="37" width="115.7109375" style="1905" customWidth="1"/>
    <col min="38" max="39" width="10.5703125" style="1820"/>
    <col min="40" max="40" width="11.140625" style="1820" customWidth="1"/>
    <col min="41" max="42" width="10.5703125" style="1820"/>
  </cols>
  <sheetData>
    <row r="1" spans="1:42" ht="14.25" hidden="1" customHeight="1">
      <c r="X1" s="253"/>
      <c r="Y1" s="253"/>
      <c r="AE1" s="253"/>
      <c r="AF1" s="253"/>
    </row>
    <row r="2" spans="1:42" ht="23.25" hidden="1" customHeight="1">
      <c r="A2" s="1279"/>
      <c r="B2" s="1279"/>
      <c r="C2" s="1279"/>
      <c r="D2" s="1279"/>
      <c r="E2" s="2270">
        <v>1</v>
      </c>
      <c r="F2" s="1279"/>
      <c r="G2" s="1279"/>
      <c r="H2" s="1279"/>
      <c r="I2" s="1279"/>
      <c r="J2" s="1279"/>
      <c r="K2" s="1279"/>
      <c r="L2" s="1280"/>
      <c r="M2" s="1281"/>
      <c r="N2" s="1281"/>
      <c r="O2" s="1281"/>
      <c r="P2" s="286"/>
      <c r="Q2" s="285"/>
      <c r="R2" s="280"/>
      <c r="S2" s="1370" t="e">
        <f>INDEX(PT_DIFFERENTIATION_NUM_NTAR,MATCH(A2,PT_DIFFERENTIATION_NTAR_ID,0))</f>
        <v>#N/A</v>
      </c>
      <c r="T2" s="216" t="s">
        <v>122</v>
      </c>
      <c r="U2" s="218"/>
      <c r="V2" s="2256"/>
      <c r="W2" s="2257"/>
      <c r="X2" s="2257"/>
      <c r="Y2" s="2257"/>
      <c r="Z2" s="2257"/>
      <c r="AA2" s="2257"/>
      <c r="AB2" s="2258"/>
      <c r="AC2" s="2256" t="e">
        <f>INDEX(PT_DIFFERENTIATION_NTAR,MATCH(A2,PT_DIFFERENTIATION_NTAR_ID,0))</f>
        <v>#N/A</v>
      </c>
      <c r="AD2" s="2257"/>
      <c r="AE2" s="2257"/>
      <c r="AF2" s="2257"/>
      <c r="AG2" s="2257"/>
      <c r="AH2" s="2257"/>
      <c r="AI2" s="2257"/>
      <c r="AJ2" s="2258"/>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79"/>
      <c r="B3" s="1279"/>
      <c r="C3" s="1279"/>
      <c r="D3" s="1279"/>
      <c r="E3" s="2271"/>
      <c r="F3" s="2270">
        <v>1</v>
      </c>
      <c r="G3" s="1279"/>
      <c r="H3" s="1279"/>
      <c r="I3" s="1279"/>
      <c r="J3" s="1279"/>
      <c r="K3" s="1279"/>
      <c r="L3" s="1280"/>
      <c r="M3" s="1281"/>
      <c r="N3" s="1281"/>
      <c r="O3" s="1281"/>
      <c r="P3" s="1366"/>
      <c r="Q3" s="277"/>
      <c r="R3" s="278"/>
      <c r="S3" s="1370" t="e">
        <f>INDEX(PT_DIFFERENTIATION_NUM_TER,MATCH(B3,PT_DIFFERENTIATION_TER_ID,0))</f>
        <v>#N/A</v>
      </c>
      <c r="T3" s="228" t="s">
        <v>388</v>
      </c>
      <c r="U3" s="218"/>
      <c r="V3" s="2256"/>
      <c r="W3" s="2257"/>
      <c r="X3" s="2257"/>
      <c r="Y3" s="2257"/>
      <c r="Z3" s="2257"/>
      <c r="AA3" s="2257"/>
      <c r="AB3" s="2258"/>
      <c r="AC3" s="2256" t="e">
        <f>INDEX(PT_DIFFERENTIATION_TER,MATCH(B3,PT_DIFFERENTIATION_TER_ID,0))</f>
        <v>#N/A</v>
      </c>
      <c r="AD3" s="2257"/>
      <c r="AE3" s="2257"/>
      <c r="AF3" s="2257"/>
      <c r="AG3" s="2257"/>
      <c r="AH3" s="2257"/>
      <c r="AI3" s="2257"/>
      <c r="AJ3" s="2258"/>
      <c r="AK3" s="1177" t="s">
        <v>389</v>
      </c>
      <c r="AM3" s="426"/>
      <c r="AN3" s="426" t="str">
        <f t="shared" si="0"/>
        <v>Территория действия тарифа</v>
      </c>
      <c r="AO3" s="426"/>
      <c r="AP3" s="426"/>
    </row>
    <row r="4" spans="1:42" ht="23.25" hidden="1" customHeight="1">
      <c r="A4" s="1279"/>
      <c r="B4" s="1279"/>
      <c r="C4" s="1279"/>
      <c r="D4" s="1279"/>
      <c r="E4" s="2271"/>
      <c r="F4" s="2271"/>
      <c r="G4" s="2270">
        <v>1</v>
      </c>
      <c r="H4" s="1279"/>
      <c r="I4" s="1279"/>
      <c r="J4" s="1279"/>
      <c r="K4" s="1279"/>
      <c r="L4" s="1280"/>
      <c r="M4" s="1281"/>
      <c r="N4" s="1281"/>
      <c r="O4" s="1281"/>
      <c r="P4" s="279"/>
      <c r="Q4" s="277"/>
      <c r="R4" s="278"/>
      <c r="S4" s="1370" t="e">
        <f>INDEX(PT_DIFFERENTIATION_NUM_CS,MATCH(C4,PT_DIFFERENTIATION_CS_ID,0))</f>
        <v>#N/A</v>
      </c>
      <c r="T4" s="229" t="s">
        <v>469</v>
      </c>
      <c r="U4" s="218"/>
      <c r="V4" s="2256"/>
      <c r="W4" s="2257"/>
      <c r="X4" s="2257"/>
      <c r="Y4" s="2257"/>
      <c r="Z4" s="2257"/>
      <c r="AA4" s="2257"/>
      <c r="AB4" s="2258"/>
      <c r="AC4" s="2256" t="e">
        <f>INDEX(PT_DIFFERENTIATION_CS,MATCH(C4,PT_DIFFERENTIATION_CS_ID,0))</f>
        <v>#N/A</v>
      </c>
      <c r="AD4" s="2257"/>
      <c r="AE4" s="2257"/>
      <c r="AF4" s="2257"/>
      <c r="AG4" s="2257"/>
      <c r="AH4" s="2257"/>
      <c r="AI4" s="2257"/>
      <c r="AJ4" s="2258"/>
      <c r="AK4" s="1177" t="s">
        <v>470</v>
      </c>
      <c r="AM4" s="426"/>
      <c r="AN4" s="426" t="str">
        <f t="shared" si="0"/>
        <v>Наименование централизованной системы холодного водоснабжения</v>
      </c>
      <c r="AO4" s="426"/>
      <c r="AP4" s="426"/>
    </row>
    <row r="5" spans="1:42" ht="23.25" hidden="1" customHeight="1">
      <c r="A5" s="1279"/>
      <c r="B5" s="1279"/>
      <c r="C5" s="1279"/>
      <c r="D5" s="1279"/>
      <c r="E5" s="2271"/>
      <c r="F5" s="2271"/>
      <c r="G5" s="2271"/>
      <c r="H5" s="2271"/>
      <c r="I5" s="2268" t="e">
        <f>S4&amp;".1"</f>
        <v>#N/A</v>
      </c>
      <c r="J5" s="1279"/>
      <c r="K5" s="1279"/>
      <c r="L5" s="1280"/>
      <c r="P5" s="2269">
        <v>1</v>
      </c>
      <c r="Q5" s="1363"/>
      <c r="R5" s="281"/>
      <c r="S5" s="1370" t="e">
        <f>$I5</f>
        <v>#N/A</v>
      </c>
      <c r="T5" s="203" t="s">
        <v>471</v>
      </c>
      <c r="U5" s="218"/>
      <c r="V5" s="2329"/>
      <c r="W5" s="2330"/>
      <c r="X5" s="2330"/>
      <c r="Y5" s="2330"/>
      <c r="Z5" s="2330"/>
      <c r="AA5" s="2330"/>
      <c r="AB5" s="2331"/>
      <c r="AC5" s="2332"/>
      <c r="AD5" s="2333"/>
      <c r="AE5" s="2333"/>
      <c r="AF5" s="2333"/>
      <c r="AG5" s="2333"/>
      <c r="AH5" s="2333"/>
      <c r="AI5" s="2333"/>
      <c r="AJ5" s="2334"/>
      <c r="AK5" s="1177" t="s">
        <v>472</v>
      </c>
      <c r="AM5" s="426"/>
      <c r="AN5" s="426" t="str">
        <f t="shared" si="0"/>
        <v>Наименование признака дифференциации</v>
      </c>
      <c r="AO5" s="426"/>
      <c r="AP5" s="426"/>
    </row>
    <row r="6" spans="1:42" ht="23.25" hidden="1" customHeight="1">
      <c r="A6" s="1279"/>
      <c r="B6" s="1279"/>
      <c r="C6" s="1279"/>
      <c r="D6" s="1279"/>
      <c r="E6" s="2271"/>
      <c r="F6" s="2271"/>
      <c r="G6" s="2271"/>
      <c r="H6" s="2271"/>
      <c r="I6" s="2291"/>
      <c r="J6" s="2268" t="e">
        <f>I5&amp;".1"</f>
        <v>#N/A</v>
      </c>
      <c r="K6" s="1279"/>
      <c r="L6" s="1280" t="s">
        <v>397</v>
      </c>
      <c r="P6" s="2269"/>
      <c r="Q6" s="2269">
        <v>1</v>
      </c>
      <c r="R6" s="282"/>
      <c r="S6" s="1370" t="e">
        <f>$J6</f>
        <v>#N/A</v>
      </c>
      <c r="T6" s="204" t="s">
        <v>398</v>
      </c>
      <c r="U6" s="218"/>
      <c r="V6" s="2259"/>
      <c r="W6" s="2260"/>
      <c r="X6" s="2260"/>
      <c r="Y6" s="2260"/>
      <c r="Z6" s="2260"/>
      <c r="AA6" s="2260"/>
      <c r="AB6" s="2261"/>
      <c r="AC6" s="2259"/>
      <c r="AD6" s="2260"/>
      <c r="AE6" s="2260"/>
      <c r="AF6" s="2260"/>
      <c r="AG6" s="2260"/>
      <c r="AH6" s="2260"/>
      <c r="AI6" s="2260"/>
      <c r="AJ6" s="2261"/>
      <c r="AK6" s="1226" t="s">
        <v>473</v>
      </c>
      <c r="AM6" s="426"/>
      <c r="AN6" s="426" t="str">
        <f t="shared" si="0"/>
        <v>Группа потребителей</v>
      </c>
      <c r="AO6" s="426"/>
      <c r="AP6" s="426"/>
    </row>
    <row r="7" spans="1:42" ht="23.25" hidden="1" customHeight="1">
      <c r="A7" s="1279"/>
      <c r="B7" s="1279"/>
      <c r="C7" s="1279"/>
      <c r="D7" s="1279"/>
      <c r="E7" s="2271"/>
      <c r="F7" s="2271"/>
      <c r="G7" s="2271"/>
      <c r="H7" s="2271"/>
      <c r="I7" s="2291"/>
      <c r="J7" s="2291"/>
      <c r="K7" s="2268" t="e">
        <f>J6&amp;".1"</f>
        <v>#N/A</v>
      </c>
      <c r="L7" s="1280"/>
      <c r="P7" s="2269"/>
      <c r="Q7" s="2269"/>
      <c r="R7" s="282">
        <v>1</v>
      </c>
      <c r="S7" s="1370" t="e">
        <f>$K7</f>
        <v>#N/A</v>
      </c>
      <c r="T7" s="1352"/>
      <c r="U7" s="218"/>
      <c r="V7" s="668"/>
      <c r="W7" s="668"/>
      <c r="X7" s="1176"/>
      <c r="Y7" s="2273"/>
      <c r="Z7" s="2124" t="s">
        <v>61</v>
      </c>
      <c r="AA7" s="2273"/>
      <c r="AB7" s="2124" t="s">
        <v>61</v>
      </c>
      <c r="AC7" s="668"/>
      <c r="AD7" s="668"/>
      <c r="AE7" s="1176"/>
      <c r="AF7" s="2273"/>
      <c r="AG7" s="2124" t="s">
        <v>61</v>
      </c>
      <c r="AH7" s="2292"/>
      <c r="AI7" s="2124" t="s">
        <v>61</v>
      </c>
      <c r="AJ7" s="1353"/>
      <c r="AK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79"/>
      <c r="B8" s="1279"/>
      <c r="C8" s="1279"/>
      <c r="D8" s="1279"/>
      <c r="E8" s="2271"/>
      <c r="F8" s="2271"/>
      <c r="G8" s="2271"/>
      <c r="H8" s="2271"/>
      <c r="I8" s="2291"/>
      <c r="J8" s="2291"/>
      <c r="K8" s="2268"/>
      <c r="L8" s="1280"/>
      <c r="P8" s="2269"/>
      <c r="Q8" s="2269"/>
      <c r="R8" s="282"/>
      <c r="S8" s="1369"/>
      <c r="T8" s="218"/>
      <c r="U8" s="218"/>
      <c r="V8" s="250"/>
      <c r="W8" s="250"/>
      <c r="X8" s="254" t="str">
        <f>Y7&amp;"-"&amp;AA7</f>
        <v>-</v>
      </c>
      <c r="Y8" s="2274"/>
      <c r="Z8" s="2124"/>
      <c r="AA8" s="2274"/>
      <c r="AB8" s="2124"/>
      <c r="AC8" s="250"/>
      <c r="AD8" s="250"/>
      <c r="AE8" s="254" t="str">
        <f>AF7&amp;"-"&amp;AH7</f>
        <v>-</v>
      </c>
      <c r="AF8" s="2274"/>
      <c r="AG8" s="2124"/>
      <c r="AH8" s="2293"/>
      <c r="AI8" s="2124"/>
      <c r="AJ8" s="1354"/>
      <c r="AK8" s="2328"/>
      <c r="AM8" s="426"/>
      <c r="AN8" s="426" t="str">
        <f t="shared" si="0"/>
        <v/>
      </c>
      <c r="AO8" s="426"/>
      <c r="AP8" s="426"/>
    </row>
    <row r="9" spans="1:42" ht="21" hidden="1" customHeight="1">
      <c r="A9" s="1279"/>
      <c r="B9" s="1279"/>
      <c r="C9" s="1279"/>
      <c r="D9" s="1279"/>
      <c r="E9" s="2271"/>
      <c r="F9" s="2271"/>
      <c r="G9" s="2271"/>
      <c r="H9" s="2271"/>
      <c r="I9" s="2291"/>
      <c r="J9" s="2268"/>
      <c r="K9" s="1279"/>
      <c r="L9" s="1280"/>
      <c r="P9" s="2269"/>
      <c r="Q9" s="2269"/>
      <c r="R9" s="281"/>
      <c r="S9" s="1198"/>
      <c r="T9" s="205" t="s">
        <v>474</v>
      </c>
      <c r="U9" s="295"/>
      <c r="V9" s="295"/>
      <c r="W9" s="295"/>
      <c r="X9" s="295"/>
      <c r="Y9" s="295"/>
      <c r="Z9" s="295"/>
      <c r="AA9" s="295"/>
      <c r="AB9" s="295"/>
      <c r="AC9" s="295"/>
      <c r="AD9" s="295"/>
      <c r="AE9" s="295"/>
      <c r="AF9" s="295"/>
      <c r="AG9" s="295"/>
      <c r="AH9" s="295"/>
      <c r="AI9" s="295"/>
      <c r="AJ9" s="295"/>
      <c r="AK9" s="1177" t="s">
        <v>475</v>
      </c>
      <c r="AM9" s="426"/>
      <c r="AN9" s="426" t="str">
        <f t="shared" si="0"/>
        <v>Добавить значение признака дифференциации</v>
      </c>
      <c r="AO9" s="426"/>
      <c r="AP9" s="426"/>
    </row>
    <row r="10" spans="1:42" ht="21" hidden="1" customHeight="1">
      <c r="A10" s="1279"/>
      <c r="B10" s="1279"/>
      <c r="C10" s="1279"/>
      <c r="D10" s="1279"/>
      <c r="E10" s="2271"/>
      <c r="F10" s="2271"/>
      <c r="G10" s="2271"/>
      <c r="H10" s="2271"/>
      <c r="I10" s="2268"/>
      <c r="J10" s="1279"/>
      <c r="K10" s="1279"/>
      <c r="L10" s="1280"/>
      <c r="P10" s="2269"/>
      <c r="Q10" s="1363"/>
      <c r="R10" s="281"/>
      <c r="S10" s="1198"/>
      <c r="T10" s="292" t="s">
        <v>403</v>
      </c>
      <c r="U10" s="295"/>
      <c r="V10" s="295"/>
      <c r="W10" s="295"/>
      <c r="X10" s="295"/>
      <c r="Y10" s="295"/>
      <c r="Z10" s="295"/>
      <c r="AA10" s="295"/>
      <c r="AB10" s="294"/>
      <c r="AC10" s="295"/>
      <c r="AD10" s="295"/>
      <c r="AE10" s="295"/>
      <c r="AF10" s="295"/>
      <c r="AG10" s="295"/>
      <c r="AH10" s="295"/>
      <c r="AI10" s="294"/>
      <c r="AJ10" s="295"/>
      <c r="AK10" s="1355"/>
      <c r="AM10" s="426"/>
      <c r="AN10" s="426" t="str">
        <f t="shared" si="0"/>
        <v>Добавить группу потребителей</v>
      </c>
      <c r="AO10" s="426"/>
      <c r="AP10" s="426"/>
    </row>
    <row r="11" spans="1:42" ht="21" hidden="1" customHeight="1">
      <c r="A11" s="1279"/>
      <c r="B11" s="1279"/>
      <c r="C11" s="1279"/>
      <c r="D11" s="1279"/>
      <c r="E11" s="2271"/>
      <c r="F11" s="2271"/>
      <c r="G11" s="2271"/>
      <c r="H11" s="2270"/>
      <c r="I11" s="1279"/>
      <c r="J11" s="1279"/>
      <c r="K11" s="1279"/>
      <c r="L11" s="1280"/>
      <c r="M11" s="1281"/>
      <c r="N11" s="1281"/>
      <c r="O11" s="462"/>
      <c r="P11" s="285"/>
      <c r="Q11" s="304"/>
      <c r="R11" s="280"/>
      <c r="S11" s="1198"/>
      <c r="T11" s="300" t="s">
        <v>476</v>
      </c>
      <c r="U11" s="295"/>
      <c r="V11" s="295"/>
      <c r="W11" s="295"/>
      <c r="X11" s="295"/>
      <c r="Y11" s="295"/>
      <c r="Z11" s="295"/>
      <c r="AA11" s="295"/>
      <c r="AB11" s="294"/>
      <c r="AC11" s="295"/>
      <c r="AD11" s="295"/>
      <c r="AE11" s="295"/>
      <c r="AF11" s="295"/>
      <c r="AG11" s="295"/>
      <c r="AH11" s="295"/>
      <c r="AI11" s="294"/>
      <c r="AJ11" s="295"/>
      <c r="AK11" s="221"/>
      <c r="AM11" s="426"/>
      <c r="AN11" s="426" t="str">
        <f t="shared" si="0"/>
        <v>Добавить наименование признака дифференциации</v>
      </c>
      <c r="AO11" s="426"/>
      <c r="AP11" s="426"/>
    </row>
    <row r="12" spans="1:42" s="1930" customFormat="1" ht="14.25" hidden="1" customHeight="1">
      <c r="A12" s="1260"/>
      <c r="B12" s="1260"/>
      <c r="C12" s="1232"/>
      <c r="D12" s="1232"/>
      <c r="E12" s="2271"/>
      <c r="F12" s="2270"/>
      <c r="G12" s="1232"/>
      <c r="H12" s="1232"/>
      <c r="I12" s="1232"/>
      <c r="J12" s="1232"/>
      <c r="K12" s="1232"/>
      <c r="L12" s="1371"/>
      <c r="M12" s="1239"/>
      <c r="N12" s="1239"/>
      <c r="P12" s="1234"/>
      <c r="Q12" s="1235"/>
      <c r="R12" s="1234"/>
      <c r="S12" s="1240"/>
      <c r="T12" s="1243" t="s">
        <v>215</v>
      </c>
      <c r="U12" s="1242"/>
      <c r="V12" s="1242"/>
      <c r="W12" s="1242"/>
      <c r="X12" s="1242"/>
      <c r="Y12" s="1242"/>
      <c r="Z12" s="1242"/>
      <c r="AA12" s="1242"/>
      <c r="AB12" s="1242"/>
      <c r="AC12" s="1242"/>
      <c r="AD12" s="1242"/>
      <c r="AE12" s="1242"/>
      <c r="AF12" s="1242"/>
      <c r="AG12" s="1242"/>
      <c r="AH12" s="1242"/>
      <c r="AI12" s="1242"/>
      <c r="AJ12" s="1242"/>
      <c r="AK12" s="1242"/>
      <c r="AM12" s="706"/>
      <c r="AN12" s="706" t="str">
        <f t="shared" si="0"/>
        <v>Добавить централизованную систему для дифференциации</v>
      </c>
      <c r="AO12" s="706"/>
      <c r="AP12" s="706"/>
    </row>
    <row r="13" spans="1:42" s="1820" customFormat="1" ht="14.25" hidden="1" customHeight="1">
      <c r="A13" s="1260"/>
      <c r="B13" s="1260"/>
      <c r="C13" s="1260"/>
      <c r="D13" s="1260"/>
      <c r="E13" s="2270"/>
      <c r="F13" s="1260"/>
      <c r="G13" s="1260"/>
      <c r="H13" s="1260"/>
      <c r="I13" s="1260"/>
      <c r="J13" s="1260"/>
      <c r="K13" s="1260"/>
      <c r="L13" s="1263"/>
      <c r="M13" s="1239"/>
      <c r="N13" s="1239"/>
      <c r="O13" s="444"/>
      <c r="P13" s="313"/>
      <c r="Q13" s="1261"/>
      <c r="R13" s="313"/>
      <c r="S13" s="1240"/>
      <c r="T13" s="1243" t="s">
        <v>216</v>
      </c>
      <c r="U13" s="1242"/>
      <c r="V13" s="1242"/>
      <c r="W13" s="1242"/>
      <c r="X13" s="1242"/>
      <c r="Y13" s="1242"/>
      <c r="Z13" s="1242"/>
      <c r="AA13" s="1242"/>
      <c r="AB13" s="1242"/>
      <c r="AC13" s="1242"/>
      <c r="AD13" s="1242"/>
      <c r="AE13" s="1242"/>
      <c r="AF13" s="1242"/>
      <c r="AG13" s="1242"/>
      <c r="AH13" s="1242"/>
      <c r="AI13" s="1242"/>
      <c r="AJ13" s="1242"/>
      <c r="AK13" s="1242"/>
      <c r="AM13" s="426"/>
      <c r="AN13" s="426" t="str">
        <f t="shared" si="0"/>
        <v>Добавить территорию для дифференциации</v>
      </c>
      <c r="AO13" s="426"/>
      <c r="AP13" s="426"/>
    </row>
    <row r="14" spans="1:42" ht="14.25" hidden="1" customHeight="1">
      <c r="AB14" s="253"/>
      <c r="AI14" s="253"/>
    </row>
    <row r="15" spans="1:42" ht="14.25" hidden="1" customHeight="1">
      <c r="AC15" s="1276"/>
      <c r="AD15" s="1276"/>
      <c r="AE15" s="1277"/>
      <c r="AF15" s="2275"/>
      <c r="AG15" s="2276" t="s">
        <v>61</v>
      </c>
      <c r="AH15" s="2275"/>
      <c r="AI15" s="2276" t="s">
        <v>61</v>
      </c>
    </row>
    <row r="16" spans="1:42" ht="14.25" hidden="1" customHeight="1">
      <c r="AC16" s="1276"/>
      <c r="AD16" s="1276"/>
      <c r="AE16" s="254" t="str">
        <f>AF15&amp;"-"&amp;AH15</f>
        <v>-</v>
      </c>
      <c r="AF16" s="2276"/>
      <c r="AG16" s="2276"/>
      <c r="AH16" s="2276"/>
      <c r="AI16" s="2276"/>
    </row>
    <row r="17" spans="1:42" ht="14.25" hidden="1" customHeight="1">
      <c r="AI17" s="253"/>
    </row>
    <row r="18" spans="1:42" s="1931" customFormat="1" ht="22.5" hidden="1" customHeight="1">
      <c r="L18" s="1360"/>
      <c r="M18" s="1278"/>
      <c r="N18" s="1278"/>
      <c r="O18" s="1283" t="s">
        <v>406</v>
      </c>
      <c r="P18" s="1278"/>
      <c r="Q18" s="1287"/>
      <c r="R18" s="1287"/>
      <c r="S18" s="648"/>
      <c r="Y18" s="1283"/>
      <c r="AA18" s="1283"/>
      <c r="AB18" s="1282"/>
      <c r="AF18" s="1283"/>
      <c r="AH18" s="1283"/>
      <c r="AI18" s="1282"/>
      <c r="AL18" s="437"/>
      <c r="AM18" s="437"/>
      <c r="AN18" s="437"/>
      <c r="AO18" s="437"/>
      <c r="AP18" s="437"/>
    </row>
    <row r="19" spans="1:42" s="1931" customFormat="1" ht="14.25" hidden="1" customHeight="1">
      <c r="L19" s="1360"/>
      <c r="M19" s="1278"/>
      <c r="N19" s="1278"/>
      <c r="O19" s="1278"/>
      <c r="P19" s="1278"/>
      <c r="Q19" s="1287"/>
      <c r="R19" s="1287"/>
      <c r="S19" s="648"/>
      <c r="AB19" s="1282"/>
      <c r="AI19" s="1282"/>
      <c r="AL19" s="437"/>
      <c r="AM19" s="437"/>
      <c r="AN19" s="437"/>
      <c r="AO19" s="437"/>
      <c r="AP19" s="437"/>
    </row>
    <row r="20" spans="1:42" s="1931" customFormat="1" ht="12" hidden="1" customHeight="1">
      <c r="L20" s="1360"/>
      <c r="M20" s="1278"/>
      <c r="N20" s="1278"/>
      <c r="O20" s="1280" t="s">
        <v>407</v>
      </c>
      <c r="P20" s="1278"/>
      <c r="Q20" s="1356"/>
      <c r="R20" s="1356"/>
      <c r="S20" s="648"/>
      <c r="T20" s="1060" t="s">
        <v>408</v>
      </c>
      <c r="Z20" s="107" t="s">
        <v>409</v>
      </c>
      <c r="AB20" s="107" t="s">
        <v>410</v>
      </c>
      <c r="AC20" s="1060" t="s">
        <v>408</v>
      </c>
      <c r="AG20" s="107" t="s">
        <v>411</v>
      </c>
      <c r="AI20" s="107" t="s">
        <v>410</v>
      </c>
    </row>
    <row r="21" spans="1:42" ht="14.25" hidden="1" customHeight="1">
      <c r="O21" s="1280"/>
    </row>
    <row r="22" spans="1:42" ht="14.25" hidden="1" customHeight="1">
      <c r="O22" s="1280"/>
    </row>
    <row r="23" spans="1:42" ht="14.25" customHeight="1">
      <c r="Q23" s="305"/>
      <c r="R23" s="305"/>
      <c r="S23" s="1195"/>
      <c r="T23" s="290"/>
      <c r="U23" s="290"/>
      <c r="V23" s="435"/>
      <c r="W23" s="435"/>
      <c r="X23" s="435"/>
      <c r="Y23" s="435"/>
      <c r="Z23" s="435"/>
      <c r="AA23" s="435"/>
      <c r="AB23" s="435"/>
      <c r="AC23" s="435"/>
      <c r="AD23" s="435"/>
      <c r="AE23" s="435"/>
      <c r="AF23" s="435"/>
      <c r="AG23" s="435"/>
      <c r="AH23" s="435"/>
      <c r="AI23" s="435"/>
    </row>
    <row r="24" spans="1:42" ht="14.25" customHeight="1">
      <c r="Q24" s="305"/>
      <c r="R24" s="305"/>
      <c r="S24" s="225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54"/>
      <c r="U24" s="2254"/>
      <c r="V24" s="2254"/>
      <c r="W24" s="2254"/>
      <c r="X24" s="2254"/>
      <c r="Y24" s="2254"/>
      <c r="Z24" s="2254"/>
      <c r="AA24" s="2254"/>
      <c r="AB24" s="2254"/>
      <c r="AC24" s="2254"/>
      <c r="AD24" s="2254"/>
      <c r="AE24" s="2254"/>
      <c r="AF24" s="2254"/>
      <c r="AG24" s="2254"/>
      <c r="AH24" s="2254"/>
      <c r="AI24" s="1152"/>
    </row>
    <row r="25" spans="1:42" ht="14.25" customHeight="1">
      <c r="Q25" s="305"/>
      <c r="R25" s="305"/>
      <c r="S25" s="2200" t="str">
        <f>IF(org=0,"Не определено",org)</f>
        <v>ПАО "Юнипро"</v>
      </c>
      <c r="T25" s="2200"/>
      <c r="U25" s="2200"/>
      <c r="V25" s="2200"/>
      <c r="W25" s="2200"/>
      <c r="X25" s="2200"/>
      <c r="Y25" s="2200"/>
      <c r="Z25" s="2200"/>
      <c r="AA25" s="2200"/>
      <c r="AB25" s="2200"/>
      <c r="AC25" s="2200"/>
      <c r="AD25" s="2200"/>
      <c r="AE25" s="2200"/>
      <c r="AF25" s="2200"/>
      <c r="AG25" s="2200"/>
      <c r="AH25" s="2200"/>
      <c r="AI25" s="1152"/>
    </row>
    <row r="26" spans="1:42" ht="14.25" customHeight="1">
      <c r="Q26" s="305"/>
      <c r="R26" s="305"/>
      <c r="S26" s="1195"/>
      <c r="T26" s="290"/>
      <c r="U26" s="290"/>
      <c r="V26" s="246"/>
      <c r="W26" s="246"/>
      <c r="X26" s="246"/>
      <c r="Y26" s="246"/>
      <c r="Z26" s="246"/>
      <c r="AA26" s="246"/>
      <c r="AB26" s="246"/>
      <c r="AC26" s="246"/>
      <c r="AD26" s="246"/>
      <c r="AE26" s="246"/>
      <c r="AF26" s="246"/>
      <c r="AG26" s="246"/>
      <c r="AH26" s="246"/>
      <c r="AI26" s="246"/>
      <c r="AJ26" s="435"/>
    </row>
    <row r="27" spans="1:42" s="1936" customFormat="1" ht="25.5" customHeight="1">
      <c r="A27" s="1284"/>
      <c r="B27" s="1284"/>
      <c r="C27" s="1284"/>
      <c r="D27" s="1284"/>
      <c r="E27" s="1284"/>
      <c r="F27" s="1284"/>
      <c r="G27" s="1284"/>
      <c r="H27" s="1284"/>
      <c r="I27" s="1284"/>
      <c r="J27" s="1284"/>
      <c r="K27" s="1284"/>
      <c r="L27" s="1285"/>
      <c r="M27" s="1284"/>
      <c r="N27" s="1284"/>
      <c r="O27" s="1284"/>
      <c r="S27" s="2262" t="s">
        <v>38</v>
      </c>
      <c r="T27" s="2262"/>
      <c r="U27" s="1288"/>
      <c r="V27" s="2263" t="str">
        <f>IF(TITLE_NAME_OR_PR_CHANGE="",IF(TITLE_NAME_OR_PR="","",TITLE_NAME_OR_PR),TITLE_NAME_OR_PR_CHANGE)</f>
        <v>Министерство тарифной политики Красноярского края</v>
      </c>
      <c r="W27" s="2263"/>
      <c r="X27" s="2263"/>
      <c r="Y27" s="2263"/>
      <c r="Z27" s="2263"/>
      <c r="AA27" s="2263"/>
      <c r="AB27" s="252"/>
      <c r="AC27" s="2263" t="str">
        <f>IF(TITLE_NAME_OR_PR_CHANGE="",IF(TITLE_NAME_OR_PR="","",TITLE_NAME_OR_PR),TITLE_NAME_OR_PR_CHANGE)</f>
        <v>Министерство тарифной политики Красноярского края</v>
      </c>
      <c r="AD27" s="2263"/>
      <c r="AE27" s="2263"/>
      <c r="AF27" s="2263"/>
      <c r="AG27" s="2263"/>
      <c r="AH27" s="2263"/>
      <c r="AI27" s="252"/>
      <c r="AJ27" s="252"/>
      <c r="AK27" s="199"/>
      <c r="AL27" s="296"/>
      <c r="AM27" s="296"/>
      <c r="AN27" s="296"/>
      <c r="AO27" s="296"/>
      <c r="AP27" s="296"/>
    </row>
    <row r="28" spans="1:42" s="1936" customFormat="1" ht="18.75" customHeight="1">
      <c r="A28" s="1284"/>
      <c r="B28" s="1284"/>
      <c r="C28" s="1284"/>
      <c r="D28" s="1284"/>
      <c r="E28" s="1284"/>
      <c r="F28" s="1284"/>
      <c r="G28" s="1284"/>
      <c r="H28" s="1284"/>
      <c r="I28" s="1284"/>
      <c r="J28" s="1284"/>
      <c r="K28" s="1284"/>
      <c r="L28" s="1285"/>
      <c r="M28" s="1284"/>
      <c r="N28" s="1284"/>
      <c r="O28" s="1284"/>
      <c r="S28" s="2262" t="s">
        <v>412</v>
      </c>
      <c r="T28" s="2262"/>
      <c r="U28" s="1288"/>
      <c r="V28" s="2272">
        <f>IF(TITLE_DATE_PR_CHANGE="",IF(TITLE_DATE_PR="","",TITLE_DATE_PR),TITLE_DATE_PR_CHANGE)</f>
        <v>45278.357847222222</v>
      </c>
      <c r="W28" s="2272"/>
      <c r="X28" s="2272"/>
      <c r="Y28" s="2272"/>
      <c r="Z28" s="2272"/>
      <c r="AA28" s="2272"/>
      <c r="AB28" s="252"/>
      <c r="AC28" s="2272">
        <f>IF(TITLE_DATE_PR_CHANGE="",IF(TITLE_DATE_PR="","",TITLE_DATE_PR),TITLE_DATE_PR_CHANGE)</f>
        <v>45278.357847222222</v>
      </c>
      <c r="AD28" s="2272"/>
      <c r="AE28" s="2272"/>
      <c r="AF28" s="2272"/>
      <c r="AG28" s="2272"/>
      <c r="AH28" s="2272"/>
      <c r="AI28" s="252"/>
      <c r="AJ28" s="252"/>
      <c r="AK28" s="199"/>
      <c r="AL28" s="296"/>
      <c r="AM28" s="296"/>
      <c r="AN28" s="296"/>
      <c r="AO28" s="296"/>
      <c r="AP28" s="296"/>
    </row>
    <row r="29" spans="1:42" s="1936" customFormat="1" ht="18.75" customHeight="1">
      <c r="A29" s="1284"/>
      <c r="B29" s="1284"/>
      <c r="C29" s="1284"/>
      <c r="D29" s="1284"/>
      <c r="E29" s="1284"/>
      <c r="F29" s="1284"/>
      <c r="G29" s="1284"/>
      <c r="H29" s="1284"/>
      <c r="I29" s="1284"/>
      <c r="J29" s="1284"/>
      <c r="K29" s="1284"/>
      <c r="L29" s="1285"/>
      <c r="M29" s="1284"/>
      <c r="N29" s="1284"/>
      <c r="O29" s="1284"/>
      <c r="S29" s="2262" t="s">
        <v>413</v>
      </c>
      <c r="T29" s="2262"/>
      <c r="U29" s="1288"/>
      <c r="V29" s="2263" t="str">
        <f>IF(TITLE_NUMBER_PR_CHANGE="",IF(TITLE_NUMBER_PR="","",TITLE_NUMBER_PR),TITLE_NUMBER_PR_CHANGE)</f>
        <v>924-в</v>
      </c>
      <c r="W29" s="2263"/>
      <c r="X29" s="2263"/>
      <c r="Y29" s="2263"/>
      <c r="Z29" s="2263"/>
      <c r="AA29" s="2263"/>
      <c r="AB29" s="252"/>
      <c r="AC29" s="2263" t="str">
        <f>IF(TITLE_NUMBER_PR_CHANGE="",IF(TITLE_NUMBER_PR="","",TITLE_NUMBER_PR),TITLE_NUMBER_PR_CHANGE)</f>
        <v>924-в</v>
      </c>
      <c r="AD29" s="2263"/>
      <c r="AE29" s="2263"/>
      <c r="AF29" s="2263"/>
      <c r="AG29" s="2263"/>
      <c r="AH29" s="2263"/>
      <c r="AI29" s="252"/>
      <c r="AJ29" s="252"/>
      <c r="AK29" s="199"/>
      <c r="AL29" s="296"/>
      <c r="AM29" s="296"/>
      <c r="AN29" s="296"/>
      <c r="AO29" s="296"/>
      <c r="AP29" s="296"/>
    </row>
    <row r="30" spans="1:42" s="1936" customFormat="1" ht="18.75" customHeight="1">
      <c r="A30" s="1284"/>
      <c r="B30" s="1284"/>
      <c r="C30" s="1284"/>
      <c r="D30" s="1284"/>
      <c r="E30" s="1284"/>
      <c r="F30" s="1284"/>
      <c r="G30" s="1284"/>
      <c r="H30" s="1284"/>
      <c r="I30" s="1284"/>
      <c r="J30" s="1284"/>
      <c r="K30" s="1284"/>
      <c r="L30" s="1285"/>
      <c r="M30" s="1284"/>
      <c r="N30" s="1284"/>
      <c r="O30" s="1284"/>
      <c r="S30" s="2262" t="s">
        <v>40</v>
      </c>
      <c r="T30" s="2262"/>
      <c r="U30" s="1288"/>
      <c r="V30" s="2263" t="str">
        <f>IF(TITLE_IST_PUB_CHANGE="",IF(TITLE_IST_PUB="","",TITLE_IST_PUB),TITLE_IST_PUB_CHANGE)</f>
        <v>Официальный интернет-портал правовой информации Красноярского края (http://www.zakon.krskstate.ru/)</v>
      </c>
      <c r="W30" s="2263"/>
      <c r="X30" s="2263"/>
      <c r="Y30" s="2263"/>
      <c r="Z30" s="2263"/>
      <c r="AA30" s="2263"/>
      <c r="AB30" s="252"/>
      <c r="AC30" s="2263" t="str">
        <f>IF(TITLE_IST_PUB_CHANGE="",IF(TITLE_IST_PUB="","",TITLE_IST_PUB),TITLE_IST_PUB_CHANGE)</f>
        <v>Официальный интернет-портал правовой информации Красноярского края (http://www.zakon.krskstate.ru/)</v>
      </c>
      <c r="AD30" s="2263"/>
      <c r="AE30" s="2263"/>
      <c r="AF30" s="2263"/>
      <c r="AG30" s="2263"/>
      <c r="AH30" s="2263"/>
      <c r="AI30" s="252"/>
      <c r="AJ30" s="252"/>
      <c r="AK30" s="199"/>
      <c r="AL30" s="296"/>
      <c r="AM30" s="296"/>
      <c r="AN30" s="296"/>
      <c r="AO30" s="296"/>
      <c r="AP30" s="296"/>
    </row>
    <row r="31" spans="1:42" ht="14.25" hidden="1" customHeight="1">
      <c r="Q31" s="305"/>
      <c r="R31" s="305"/>
      <c r="S31" s="1195"/>
      <c r="T31" s="290"/>
      <c r="U31" s="290"/>
      <c r="V31" s="246"/>
      <c r="W31" s="246"/>
      <c r="X31" s="246"/>
      <c r="Y31" s="246"/>
      <c r="Z31" s="246"/>
      <c r="AA31" s="246"/>
      <c r="AB31" s="246"/>
      <c r="AC31" s="246"/>
      <c r="AD31" s="246"/>
      <c r="AE31" s="246"/>
      <c r="AF31" s="246"/>
      <c r="AG31" s="246"/>
      <c r="AH31" s="246"/>
      <c r="AI31" s="246"/>
      <c r="AJ31" s="435"/>
    </row>
    <row r="32" spans="1:42" s="1936" customFormat="1" ht="18.75" hidden="1" customHeight="1">
      <c r="A32" s="1284"/>
      <c r="B32" s="1284"/>
      <c r="C32" s="1284"/>
      <c r="D32" s="1284"/>
      <c r="E32" s="1284"/>
      <c r="F32" s="1284"/>
      <c r="G32" s="1284"/>
      <c r="H32" s="1284"/>
      <c r="I32" s="1284"/>
      <c r="J32" s="1284"/>
      <c r="K32" s="1284"/>
      <c r="L32" s="1285"/>
      <c r="M32" s="1284"/>
      <c r="N32" s="1284"/>
      <c r="O32" s="1284"/>
      <c r="S32" s="2262" t="s">
        <v>414</v>
      </c>
      <c r="T32" s="2262"/>
      <c r="U32" s="1288"/>
      <c r="V32" s="2272">
        <f>IF(TITLE_DATE_PR_CHANGE="",IF(TITLE_DATE_PR="","",TITLE_DATE_PR),TITLE_DATE_PR_CHANGE)</f>
        <v>45278.357847222222</v>
      </c>
      <c r="W32" s="2272"/>
      <c r="X32" s="2272"/>
      <c r="Y32" s="2272"/>
      <c r="Z32" s="2272"/>
      <c r="AA32" s="2272"/>
      <c r="AB32" s="252"/>
      <c r="AC32" s="2272">
        <f>IF(TITLE_DATE_PR_CHANGE="",IF(TITLE_DATE_PR="","",TITLE_DATE_PR),TITLE_DATE_PR_CHANGE)</f>
        <v>45278.357847222222</v>
      </c>
      <c r="AD32" s="2272"/>
      <c r="AE32" s="2272"/>
      <c r="AF32" s="2272"/>
      <c r="AG32" s="2272"/>
      <c r="AH32" s="2272"/>
      <c r="AI32" s="252"/>
      <c r="AJ32" s="252"/>
      <c r="AK32" s="199"/>
      <c r="AL32" s="296"/>
      <c r="AM32" s="296"/>
      <c r="AN32" s="296"/>
      <c r="AO32" s="296"/>
      <c r="AP32" s="296"/>
    </row>
    <row r="33" spans="1:42" s="1936" customFormat="1" ht="18.75" hidden="1" customHeight="1">
      <c r="A33" s="1284"/>
      <c r="B33" s="1284"/>
      <c r="C33" s="1284"/>
      <c r="D33" s="1284"/>
      <c r="E33" s="1284"/>
      <c r="F33" s="1284"/>
      <c r="G33" s="1284"/>
      <c r="H33" s="1284"/>
      <c r="I33" s="1284"/>
      <c r="J33" s="1284"/>
      <c r="K33" s="1284"/>
      <c r="L33" s="1285"/>
      <c r="M33" s="1284"/>
      <c r="N33" s="1284"/>
      <c r="O33" s="1284"/>
      <c r="S33" s="2262" t="s">
        <v>415</v>
      </c>
      <c r="T33" s="2262"/>
      <c r="U33" s="1288"/>
      <c r="V33" s="2263" t="str">
        <f>IF(TITLE_NUMBER_PR_CHANGE="",IF(TITLE_NUMBER_PR="","",TITLE_NUMBER_PR),TITLE_NUMBER_PR_CHANGE)</f>
        <v>924-в</v>
      </c>
      <c r="W33" s="2263"/>
      <c r="X33" s="2263"/>
      <c r="Y33" s="2263"/>
      <c r="Z33" s="2263"/>
      <c r="AA33" s="2263"/>
      <c r="AB33" s="252"/>
      <c r="AC33" s="2263" t="str">
        <f>IF(TITLE_NUMBER_PR_CHANGE="",IF(TITLE_NUMBER_PR="","",TITLE_NUMBER_PR),TITLE_NUMBER_PR_CHANGE)</f>
        <v>924-в</v>
      </c>
      <c r="AD33" s="2263"/>
      <c r="AE33" s="2263"/>
      <c r="AF33" s="2263"/>
      <c r="AG33" s="2263"/>
      <c r="AH33" s="2263"/>
      <c r="AI33" s="252"/>
      <c r="AJ33" s="252"/>
      <c r="AK33" s="199"/>
      <c r="AL33" s="296"/>
      <c r="AM33" s="296"/>
      <c r="AN33" s="296"/>
      <c r="AO33" s="296"/>
      <c r="AP33" s="296"/>
    </row>
    <row r="34" spans="1:42" s="1936" customFormat="1" ht="0.75" customHeight="1">
      <c r="A34" s="1284"/>
      <c r="B34" s="1284"/>
      <c r="C34" s="1284"/>
      <c r="D34" s="1284"/>
      <c r="E34" s="1284"/>
      <c r="F34" s="1284"/>
      <c r="G34" s="1284"/>
      <c r="H34" s="1284"/>
      <c r="I34" s="1284"/>
      <c r="J34" s="1284"/>
      <c r="K34" s="1284"/>
      <c r="L34" s="1285"/>
      <c r="M34" s="1284"/>
      <c r="N34" s="1284"/>
      <c r="O34" s="1284"/>
      <c r="S34" s="248"/>
      <c r="T34" s="248"/>
      <c r="U34" s="1367"/>
      <c r="V34" s="252"/>
      <c r="W34" s="252"/>
      <c r="X34" s="252"/>
      <c r="Y34" s="252"/>
      <c r="Z34" s="252"/>
      <c r="AA34" s="252"/>
      <c r="AB34" s="197" t="s">
        <v>416</v>
      </c>
      <c r="AC34" s="252"/>
      <c r="AD34" s="252"/>
      <c r="AE34" s="252"/>
      <c r="AF34" s="252"/>
      <c r="AG34" s="252"/>
      <c r="AH34" s="252"/>
      <c r="AI34" s="197" t="s">
        <v>416</v>
      </c>
      <c r="AL34" s="296"/>
      <c r="AM34" s="296"/>
      <c r="AN34" s="296"/>
      <c r="AO34" s="296"/>
      <c r="AP34" s="296"/>
    </row>
    <row r="35" spans="1:42" ht="14.25" customHeight="1">
      <c r="Q35" s="305"/>
      <c r="R35" s="305"/>
      <c r="S35" s="1195"/>
      <c r="T35" s="290"/>
      <c r="U35" s="1153"/>
      <c r="V35" s="2264"/>
      <c r="W35" s="2264"/>
      <c r="X35" s="2264"/>
      <c r="Y35" s="2264"/>
      <c r="Z35" s="2264"/>
      <c r="AA35" s="2264"/>
      <c r="AB35" s="2264"/>
      <c r="AC35" s="2264"/>
      <c r="AD35" s="2264"/>
      <c r="AE35" s="2264"/>
      <c r="AF35" s="2264"/>
      <c r="AG35" s="2264"/>
      <c r="AH35" s="2264"/>
      <c r="AI35" s="2264"/>
    </row>
    <row r="36" spans="1:42" ht="14.25" customHeight="1">
      <c r="Q36" s="305"/>
      <c r="R36" s="305"/>
      <c r="S36" s="2143" t="s">
        <v>289</v>
      </c>
      <c r="T36" s="2143"/>
      <c r="U36" s="2143"/>
      <c r="V36" s="2143"/>
      <c r="W36" s="2143"/>
      <c r="X36" s="2143"/>
      <c r="Y36" s="2143"/>
      <c r="Z36" s="2143"/>
      <c r="AA36" s="2143"/>
      <c r="AB36" s="2143"/>
      <c r="AC36" s="2143"/>
      <c r="AD36" s="2143"/>
      <c r="AE36" s="2143"/>
      <c r="AF36" s="2143"/>
      <c r="AG36" s="2143"/>
      <c r="AH36" s="2143"/>
      <c r="AI36" s="2143"/>
      <c r="AJ36" s="2143"/>
      <c r="AK36" s="2143" t="s">
        <v>290</v>
      </c>
    </row>
    <row r="37" spans="1:42" ht="14.25" customHeight="1">
      <c r="Q37" s="305"/>
      <c r="R37" s="305"/>
      <c r="S37" s="2278" t="s">
        <v>87</v>
      </c>
      <c r="T37" s="2229" t="s">
        <v>417</v>
      </c>
      <c r="U37" s="219"/>
      <c r="V37" s="2279" t="s">
        <v>418</v>
      </c>
      <c r="W37" s="2280"/>
      <c r="X37" s="2280"/>
      <c r="Y37" s="2280"/>
      <c r="Z37" s="2280"/>
      <c r="AA37" s="2281"/>
      <c r="AB37" s="2282" t="s">
        <v>419</v>
      </c>
      <c r="AC37" s="2279" t="s">
        <v>418</v>
      </c>
      <c r="AD37" s="2280"/>
      <c r="AE37" s="2280"/>
      <c r="AF37" s="2280"/>
      <c r="AG37" s="2280"/>
      <c r="AH37" s="2281"/>
      <c r="AI37" s="2282" t="s">
        <v>420</v>
      </c>
      <c r="AJ37" s="2285" t="s">
        <v>421</v>
      </c>
      <c r="AK37" s="2143"/>
    </row>
    <row r="38" spans="1:42" ht="33.75" customHeight="1">
      <c r="Q38" s="305"/>
      <c r="R38" s="305"/>
      <c r="S38" s="2278"/>
      <c r="T38" s="2229"/>
      <c r="U38" s="938"/>
      <c r="V38" s="1365" t="s">
        <v>478</v>
      </c>
      <c r="W38" s="2115" t="s">
        <v>424</v>
      </c>
      <c r="X38" s="2114"/>
      <c r="Y38" s="2115" t="s">
        <v>425</v>
      </c>
      <c r="Z38" s="2120"/>
      <c r="AA38" s="2114"/>
      <c r="AB38" s="2283"/>
      <c r="AC38" s="1365" t="s">
        <v>478</v>
      </c>
      <c r="AD38" s="2115" t="s">
        <v>424</v>
      </c>
      <c r="AE38" s="2114"/>
      <c r="AF38" s="2115" t="s">
        <v>425</v>
      </c>
      <c r="AG38" s="2120"/>
      <c r="AH38" s="2114"/>
      <c r="AI38" s="2283"/>
      <c r="AJ38" s="2286"/>
      <c r="AK38" s="2143"/>
    </row>
    <row r="39" spans="1:42" ht="33.75" customHeight="1">
      <c r="A39" s="1286"/>
      <c r="B39" s="1286" t="s">
        <v>134</v>
      </c>
      <c r="C39" s="1286" t="s">
        <v>135</v>
      </c>
      <c r="D39" s="1286" t="s">
        <v>136</v>
      </c>
      <c r="E39" s="1280" t="s">
        <v>426</v>
      </c>
      <c r="F39" s="1280" t="s">
        <v>427</v>
      </c>
      <c r="G39" s="1280" t="s">
        <v>428</v>
      </c>
      <c r="H39" s="1280"/>
      <c r="I39" s="1280" t="s">
        <v>479</v>
      </c>
      <c r="J39" s="1280" t="s">
        <v>431</v>
      </c>
      <c r="K39" s="1280" t="s">
        <v>480</v>
      </c>
      <c r="L39" s="1280" t="s">
        <v>407</v>
      </c>
      <c r="Q39" s="305"/>
      <c r="R39" s="305"/>
      <c r="S39" s="2278"/>
      <c r="T39" s="2229"/>
      <c r="U39" s="220"/>
      <c r="V39" s="1365" t="s">
        <v>481</v>
      </c>
      <c r="W39" s="1128" t="s">
        <v>482</v>
      </c>
      <c r="X39" s="1128" t="s">
        <v>483</v>
      </c>
      <c r="Y39" s="1368" t="s">
        <v>435</v>
      </c>
      <c r="Z39" s="2238" t="s">
        <v>436</v>
      </c>
      <c r="AA39" s="2240"/>
      <c r="AB39" s="2284"/>
      <c r="AC39" s="1365" t="s">
        <v>481</v>
      </c>
      <c r="AD39" s="1128" t="s">
        <v>482</v>
      </c>
      <c r="AE39" s="1128" t="s">
        <v>483</v>
      </c>
      <c r="AF39" s="1368" t="s">
        <v>435</v>
      </c>
      <c r="AG39" s="2238" t="s">
        <v>436</v>
      </c>
      <c r="AH39" s="2240"/>
      <c r="AI39" s="2284"/>
      <c r="AJ39" s="2287"/>
      <c r="AK39" s="2143"/>
    </row>
    <row r="40" spans="1:42" s="1819" customFormat="1" ht="0"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108</v>
      </c>
      <c r="T40" s="1172" t="s">
        <v>109</v>
      </c>
      <c r="U40" s="1154" t="str">
        <f ca="1">OFFSET(U40,0,-1)</f>
        <v>2</v>
      </c>
      <c r="V40" s="1364">
        <f ca="1">OFFSET(V40,0,-1)+1</f>
        <v>3</v>
      </c>
      <c r="W40" s="1364">
        <f ca="1">OFFSET(W40,0,-1)+1</f>
        <v>4</v>
      </c>
      <c r="X40" s="1364">
        <f ca="1">OFFSET(X40,0,-1)+1</f>
        <v>5</v>
      </c>
      <c r="Y40" s="1364">
        <f ca="1">OFFSET(Y40,0,-1)+1</f>
        <v>6</v>
      </c>
      <c r="Z40" s="2277">
        <f ca="1">OFFSET(Z40,0,-1)+1</f>
        <v>7</v>
      </c>
      <c r="AA40" s="2277"/>
      <c r="AB40" s="1364">
        <f ca="1">OFFSET(AB40,0,-2)+1</f>
        <v>8</v>
      </c>
      <c r="AC40" s="1364">
        <f ca="1">OFFSET(AC40,0,-1)+1</f>
        <v>9</v>
      </c>
      <c r="AD40" s="1364">
        <f ca="1">OFFSET(AD40,0,-1)+1</f>
        <v>10</v>
      </c>
      <c r="AE40" s="1364">
        <f ca="1">OFFSET(AE40,0,-1)+1</f>
        <v>11</v>
      </c>
      <c r="AF40" s="1364">
        <f ca="1">OFFSET(AF40,0,-1)+1</f>
        <v>12</v>
      </c>
      <c r="AG40" s="2277">
        <f ca="1">OFFSET(AG40,0,-1)+1</f>
        <v>13</v>
      </c>
      <c r="AH40" s="2277"/>
      <c r="AI40" s="1364">
        <f ca="1">OFFSET(AI40,0,-2)+1</f>
        <v>14</v>
      </c>
      <c r="AJ40" s="1154">
        <f ca="1">OFFSET(AJ40,0,-1)</f>
        <v>14</v>
      </c>
      <c r="AK40" s="1364">
        <f ca="1">OFFSET(AK40,0,-1)+1</f>
        <v>15</v>
      </c>
      <c r="AL40" s="437"/>
      <c r="AM40" s="437"/>
      <c r="AN40" s="437"/>
      <c r="AO40" s="437"/>
      <c r="AP40" s="437"/>
    </row>
    <row r="41" spans="1:42" ht="23.25" customHeight="1">
      <c r="A41" s="1279" t="s">
        <v>220</v>
      </c>
      <c r="B41" s="1279"/>
      <c r="C41" s="1279"/>
      <c r="D41" s="1279"/>
      <c r="E41" s="2270">
        <v>1</v>
      </c>
      <c r="F41" s="1279"/>
      <c r="G41" s="1279"/>
      <c r="H41" s="1279"/>
      <c r="I41" s="1279"/>
      <c r="J41" s="1279"/>
      <c r="K41" s="1279"/>
      <c r="L41" s="1280"/>
      <c r="M41" s="1281"/>
      <c r="N41" s="1281"/>
      <c r="O41" s="1281"/>
      <c r="P41" s="286"/>
      <c r="Q41" s="285"/>
      <c r="R41" s="280"/>
      <c r="S41" s="1370">
        <f>INDEX(PT_DIFFERENTIATION_NUM_NTAR,MATCH(A41,PT_DIFFERENTIATION_NTAR_ID,0))</f>
        <v>0</v>
      </c>
      <c r="T41" s="216" t="s">
        <v>122</v>
      </c>
      <c r="U41" s="218"/>
      <c r="V41" s="2256"/>
      <c r="W41" s="2257"/>
      <c r="X41" s="2257"/>
      <c r="Y41" s="2257"/>
      <c r="Z41" s="2257"/>
      <c r="AA41" s="2257"/>
      <c r="AB41" s="2258"/>
      <c r="AC41" s="2256" t="str">
        <f>INDEX(PT_DIFFERENTIATION_NTAR,MATCH(A41,PT_DIFFERENTIATION_NTAR_ID,0))</f>
        <v/>
      </c>
      <c r="AD41" s="2257"/>
      <c r="AE41" s="2257"/>
      <c r="AF41" s="2257"/>
      <c r="AG41" s="2257"/>
      <c r="AH41" s="2257"/>
      <c r="AI41" s="2257"/>
      <c r="AJ41" s="2258"/>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79" t="s">
        <v>220</v>
      </c>
      <c r="B42" s="1279" t="s">
        <v>221</v>
      </c>
      <c r="C42" s="1279"/>
      <c r="D42" s="1279"/>
      <c r="E42" s="2271"/>
      <c r="F42" s="2270">
        <v>1</v>
      </c>
      <c r="G42" s="1279"/>
      <c r="H42" s="1279"/>
      <c r="I42" s="1279"/>
      <c r="J42" s="1279"/>
      <c r="K42" s="1279"/>
      <c r="L42" s="1280"/>
      <c r="M42" s="1281"/>
      <c r="N42" s="1281"/>
      <c r="O42" s="1281"/>
      <c r="P42" s="1366"/>
      <c r="Q42" s="277"/>
      <c r="R42" s="278"/>
      <c r="S42" s="1370" t="str">
        <f>INDEX(PT_DIFFERENTIATION_NUM_TER,MATCH(B42,PT_DIFFERENTIATION_TER_ID,0))</f>
        <v>.</v>
      </c>
      <c r="T42" s="228" t="s">
        <v>388</v>
      </c>
      <c r="U42" s="218"/>
      <c r="V42" s="2256"/>
      <c r="W42" s="2257"/>
      <c r="X42" s="2257"/>
      <c r="Y42" s="2257"/>
      <c r="Z42" s="2257"/>
      <c r="AA42" s="2257"/>
      <c r="AB42" s="2258"/>
      <c r="AC42" s="2256" t="str">
        <f>INDEX(PT_DIFFERENTIATION_TER,MATCH(B42,PT_DIFFERENTIATION_TER_ID,0))</f>
        <v/>
      </c>
      <c r="AD42" s="2257"/>
      <c r="AE42" s="2257"/>
      <c r="AF42" s="2257"/>
      <c r="AG42" s="2257"/>
      <c r="AH42" s="2257"/>
      <c r="AI42" s="2257"/>
      <c r="AJ42" s="2258"/>
      <c r="AK42" s="1177" t="s">
        <v>389</v>
      </c>
      <c r="AM42" s="426"/>
      <c r="AN42" s="426" t="str">
        <f t="shared" si="1"/>
        <v>Территория действия тарифа</v>
      </c>
      <c r="AO42" s="426"/>
      <c r="AP42" s="426"/>
    </row>
    <row r="43" spans="1:42" ht="23.25" customHeight="1">
      <c r="A43" s="1279" t="s">
        <v>220</v>
      </c>
      <c r="B43" s="1279" t="s">
        <v>221</v>
      </c>
      <c r="C43" s="1279" t="s">
        <v>222</v>
      </c>
      <c r="D43" s="1279"/>
      <c r="E43" s="2271"/>
      <c r="F43" s="2271"/>
      <c r="G43" s="2270">
        <v>1</v>
      </c>
      <c r="H43" s="1279"/>
      <c r="I43" s="1279"/>
      <c r="J43" s="1279"/>
      <c r="K43" s="1279"/>
      <c r="L43" s="1280"/>
      <c r="M43" s="1281"/>
      <c r="N43" s="1281"/>
      <c r="O43" s="1281"/>
      <c r="P43" s="279"/>
      <c r="Q43" s="277"/>
      <c r="R43" s="278"/>
      <c r="S43" s="1370" t="str">
        <f>INDEX(PT_DIFFERENTIATION_NUM_CS,MATCH(C43,PT_DIFFERENTIATION_CS_ID,0))</f>
        <v>..</v>
      </c>
      <c r="T43" s="229" t="s">
        <v>469</v>
      </c>
      <c r="U43" s="218"/>
      <c r="V43" s="2256"/>
      <c r="W43" s="2257"/>
      <c r="X43" s="2257"/>
      <c r="Y43" s="2257"/>
      <c r="Z43" s="2257"/>
      <c r="AA43" s="2257"/>
      <c r="AB43" s="2258"/>
      <c r="AC43" s="2256" t="str">
        <f>INDEX(PT_DIFFERENTIATION_CS,MATCH(C43,PT_DIFFERENTIATION_CS_ID,0))</f>
        <v/>
      </c>
      <c r="AD43" s="2257"/>
      <c r="AE43" s="2257"/>
      <c r="AF43" s="2257"/>
      <c r="AG43" s="2257"/>
      <c r="AH43" s="2257"/>
      <c r="AI43" s="2257"/>
      <c r="AJ43" s="2258"/>
      <c r="AK43" s="1177" t="s">
        <v>470</v>
      </c>
      <c r="AM43" s="426"/>
      <c r="AN43" s="426" t="str">
        <f t="shared" si="1"/>
        <v>Наименование централизованной системы холодного водоснабжения</v>
      </c>
      <c r="AO43" s="426"/>
      <c r="AP43" s="426"/>
    </row>
    <row r="44" spans="1:42" ht="23.25" customHeight="1">
      <c r="A44" s="1279" t="s">
        <v>220</v>
      </c>
      <c r="B44" s="1279" t="s">
        <v>221</v>
      </c>
      <c r="C44" s="1279" t="s">
        <v>222</v>
      </c>
      <c r="D44" s="1279" t="s">
        <v>488</v>
      </c>
      <c r="E44" s="2271"/>
      <c r="F44" s="2271"/>
      <c r="G44" s="2271"/>
      <c r="H44" s="2271"/>
      <c r="I44" s="2268" t="str">
        <f>S43&amp;".1"</f>
        <v>...1</v>
      </c>
      <c r="J44" s="1279"/>
      <c r="K44" s="1279"/>
      <c r="L44" s="1280"/>
      <c r="P44" s="2269">
        <v>1</v>
      </c>
      <c r="Q44" s="1363"/>
      <c r="R44" s="281"/>
      <c r="S44" s="1370" t="str">
        <f>$I44</f>
        <v>...1</v>
      </c>
      <c r="T44" s="203" t="s">
        <v>471</v>
      </c>
      <c r="U44" s="218"/>
      <c r="V44" s="2329"/>
      <c r="W44" s="2330"/>
      <c r="X44" s="2330"/>
      <c r="Y44" s="2330"/>
      <c r="Z44" s="2330"/>
      <c r="AA44" s="2330"/>
      <c r="AB44" s="2331"/>
      <c r="AC44" s="2332"/>
      <c r="AD44" s="2333"/>
      <c r="AE44" s="2333"/>
      <c r="AF44" s="2333"/>
      <c r="AG44" s="2333"/>
      <c r="AH44" s="2333"/>
      <c r="AI44" s="2333"/>
      <c r="AJ44" s="2334"/>
      <c r="AK44" s="1177" t="s">
        <v>472</v>
      </c>
      <c r="AM44" s="426"/>
      <c r="AN44" s="426" t="str">
        <f t="shared" si="1"/>
        <v>Наименование признака дифференциации</v>
      </c>
      <c r="AO44" s="426"/>
      <c r="AP44" s="426"/>
    </row>
    <row r="45" spans="1:42" ht="23.25" customHeight="1">
      <c r="A45" s="1279" t="s">
        <v>220</v>
      </c>
      <c r="B45" s="1279" t="s">
        <v>221</v>
      </c>
      <c r="C45" s="1279" t="s">
        <v>222</v>
      </c>
      <c r="D45" s="1279" t="s">
        <v>488</v>
      </c>
      <c r="E45" s="2271"/>
      <c r="F45" s="2271"/>
      <c r="G45" s="2271"/>
      <c r="H45" s="2271"/>
      <c r="I45" s="2291"/>
      <c r="J45" s="2268" t="str">
        <f>I44&amp;".1"</f>
        <v>...1.1</v>
      </c>
      <c r="K45" s="1279"/>
      <c r="L45" s="1280" t="s">
        <v>397</v>
      </c>
      <c r="P45" s="2269"/>
      <c r="Q45" s="2269">
        <v>1</v>
      </c>
      <c r="R45" s="282"/>
      <c r="S45" s="1370" t="str">
        <f>$J45</f>
        <v>...1.1</v>
      </c>
      <c r="T45" s="204" t="s">
        <v>398</v>
      </c>
      <c r="U45" s="218"/>
      <c r="V45" s="2259"/>
      <c r="W45" s="2260"/>
      <c r="X45" s="2260"/>
      <c r="Y45" s="2260"/>
      <c r="Z45" s="2260"/>
      <c r="AA45" s="2260"/>
      <c r="AB45" s="2261"/>
      <c r="AC45" s="2259"/>
      <c r="AD45" s="2260"/>
      <c r="AE45" s="2260"/>
      <c r="AF45" s="2260"/>
      <c r="AG45" s="2260"/>
      <c r="AH45" s="2260"/>
      <c r="AI45" s="2260"/>
      <c r="AJ45" s="2261"/>
      <c r="AK45" s="1226" t="s">
        <v>473</v>
      </c>
      <c r="AM45" s="426"/>
      <c r="AN45" s="426" t="str">
        <f t="shared" si="1"/>
        <v>Группа потребителей</v>
      </c>
      <c r="AO45" s="426"/>
      <c r="AP45" s="426"/>
    </row>
    <row r="46" spans="1:42" ht="23.25" customHeight="1">
      <c r="A46" s="1279" t="s">
        <v>220</v>
      </c>
      <c r="B46" s="1279" t="s">
        <v>221</v>
      </c>
      <c r="C46" s="1279" t="s">
        <v>222</v>
      </c>
      <c r="D46" s="1279" t="s">
        <v>488</v>
      </c>
      <c r="E46" s="2271"/>
      <c r="F46" s="2271"/>
      <c r="G46" s="2271"/>
      <c r="H46" s="2271"/>
      <c r="I46" s="2291"/>
      <c r="J46" s="2291"/>
      <c r="K46" s="2268" t="str">
        <f>J45&amp;".1"</f>
        <v>...1.1.1</v>
      </c>
      <c r="L46" s="1280"/>
      <c r="P46" s="2269"/>
      <c r="Q46" s="2269"/>
      <c r="R46" s="282">
        <v>1</v>
      </c>
      <c r="S46" s="1370" t="str">
        <f>$K46</f>
        <v>...1.1.1</v>
      </c>
      <c r="T46" s="1352"/>
      <c r="U46" s="218"/>
      <c r="V46" s="668"/>
      <c r="W46" s="668"/>
      <c r="X46" s="1176"/>
      <c r="Y46" s="2273"/>
      <c r="Z46" s="2124" t="s">
        <v>61</v>
      </c>
      <c r="AA46" s="2273"/>
      <c r="AB46" s="2124" t="s">
        <v>61</v>
      </c>
      <c r="AC46" s="668"/>
      <c r="AD46" s="668"/>
      <c r="AE46" s="1176"/>
      <c r="AF46" s="2273"/>
      <c r="AG46" s="2124" t="s">
        <v>61</v>
      </c>
      <c r="AH46" s="2292"/>
      <c r="AI46" s="2124" t="s">
        <v>61</v>
      </c>
      <c r="AJ46" s="1353"/>
      <c r="AK46"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79" t="s">
        <v>220</v>
      </c>
      <c r="B47" s="1279" t="s">
        <v>221</v>
      </c>
      <c r="C47" s="1279" t="s">
        <v>222</v>
      </c>
      <c r="D47" s="1279" t="s">
        <v>488</v>
      </c>
      <c r="E47" s="2271"/>
      <c r="F47" s="2271"/>
      <c r="G47" s="2271"/>
      <c r="H47" s="2271"/>
      <c r="I47" s="2291"/>
      <c r="J47" s="2291"/>
      <c r="K47" s="2268"/>
      <c r="L47" s="1280"/>
      <c r="P47" s="2269"/>
      <c r="Q47" s="2269"/>
      <c r="R47" s="282"/>
      <c r="S47" s="1369"/>
      <c r="T47" s="218"/>
      <c r="U47" s="218"/>
      <c r="V47" s="250"/>
      <c r="W47" s="250"/>
      <c r="X47" s="254" t="str">
        <f>Y46&amp;"-"&amp;AA46</f>
        <v>-</v>
      </c>
      <c r="Y47" s="2274"/>
      <c r="Z47" s="2124"/>
      <c r="AA47" s="2274"/>
      <c r="AB47" s="2124"/>
      <c r="AC47" s="250"/>
      <c r="AD47" s="250"/>
      <c r="AE47" s="254" t="str">
        <f>AF46&amp;"-"&amp;AH46</f>
        <v>-</v>
      </c>
      <c r="AF47" s="2274"/>
      <c r="AG47" s="2124"/>
      <c r="AH47" s="2293"/>
      <c r="AI47" s="2124"/>
      <c r="AJ47" s="1354"/>
      <c r="AK47" s="2328"/>
      <c r="AM47" s="426"/>
      <c r="AN47" s="426" t="str">
        <f t="shared" si="1"/>
        <v/>
      </c>
      <c r="AO47" s="426"/>
      <c r="AP47" s="426"/>
    </row>
    <row r="48" spans="1:42" ht="21" customHeight="1">
      <c r="A48" s="1279" t="s">
        <v>220</v>
      </c>
      <c r="B48" s="1279" t="s">
        <v>221</v>
      </c>
      <c r="C48" s="1279" t="s">
        <v>222</v>
      </c>
      <c r="D48" s="1279" t="s">
        <v>488</v>
      </c>
      <c r="E48" s="2271"/>
      <c r="F48" s="2271"/>
      <c r="G48" s="2271"/>
      <c r="H48" s="2271"/>
      <c r="I48" s="2291"/>
      <c r="J48" s="2268"/>
      <c r="K48" s="1279"/>
      <c r="L48" s="1280"/>
      <c r="P48" s="2269"/>
      <c r="Q48" s="2269"/>
      <c r="R48" s="281"/>
      <c r="S48" s="1198"/>
      <c r="T48" s="205" t="s">
        <v>474</v>
      </c>
      <c r="U48" s="295"/>
      <c r="V48" s="295"/>
      <c r="W48" s="295"/>
      <c r="X48" s="295"/>
      <c r="Y48" s="295"/>
      <c r="Z48" s="295"/>
      <c r="AA48" s="295"/>
      <c r="AB48" s="295"/>
      <c r="AC48" s="295"/>
      <c r="AD48" s="295"/>
      <c r="AE48" s="295"/>
      <c r="AF48" s="295"/>
      <c r="AG48" s="295"/>
      <c r="AH48" s="295"/>
      <c r="AI48" s="295"/>
      <c r="AJ48" s="295"/>
      <c r="AK48" s="1177" t="s">
        <v>475</v>
      </c>
      <c r="AM48" s="426"/>
      <c r="AN48" s="426" t="str">
        <f t="shared" si="1"/>
        <v>Добавить значение признака дифференциации</v>
      </c>
      <c r="AO48" s="426"/>
      <c r="AP48" s="426"/>
    </row>
    <row r="49" spans="1:42" ht="21" customHeight="1">
      <c r="A49" s="1279" t="s">
        <v>220</v>
      </c>
      <c r="B49" s="1279" t="s">
        <v>221</v>
      </c>
      <c r="C49" s="1279" t="s">
        <v>222</v>
      </c>
      <c r="D49" s="1279" t="s">
        <v>488</v>
      </c>
      <c r="E49" s="2271"/>
      <c r="F49" s="2271"/>
      <c r="G49" s="2271"/>
      <c r="H49" s="2271"/>
      <c r="I49" s="2268"/>
      <c r="J49" s="1279"/>
      <c r="K49" s="1279"/>
      <c r="L49" s="1280"/>
      <c r="P49" s="2269"/>
      <c r="Q49" s="1363"/>
      <c r="R49" s="281"/>
      <c r="S49" s="1198"/>
      <c r="T49" s="292" t="s">
        <v>403</v>
      </c>
      <c r="U49" s="295"/>
      <c r="V49" s="295"/>
      <c r="W49" s="295"/>
      <c r="X49" s="295"/>
      <c r="Y49" s="295"/>
      <c r="Z49" s="295"/>
      <c r="AA49" s="295"/>
      <c r="AB49" s="294"/>
      <c r="AC49" s="295"/>
      <c r="AD49" s="295"/>
      <c r="AE49" s="295"/>
      <c r="AF49" s="295"/>
      <c r="AG49" s="295"/>
      <c r="AH49" s="295"/>
      <c r="AI49" s="294"/>
      <c r="AJ49" s="295"/>
      <c r="AK49" s="1355"/>
      <c r="AM49" s="426"/>
      <c r="AN49" s="426" t="str">
        <f t="shared" si="1"/>
        <v>Добавить группу потребителей</v>
      </c>
      <c r="AO49" s="426"/>
      <c r="AP49" s="426"/>
    </row>
    <row r="50" spans="1:42" ht="21" customHeight="1">
      <c r="A50" s="1279" t="s">
        <v>220</v>
      </c>
      <c r="B50" s="1279" t="s">
        <v>221</v>
      </c>
      <c r="C50" s="1279" t="s">
        <v>222</v>
      </c>
      <c r="D50" s="1279" t="s">
        <v>488</v>
      </c>
      <c r="E50" s="2271"/>
      <c r="F50" s="2271"/>
      <c r="G50" s="2271"/>
      <c r="H50" s="2270"/>
      <c r="I50" s="1279"/>
      <c r="J50" s="1279"/>
      <c r="K50" s="1279"/>
      <c r="L50" s="1280"/>
      <c r="M50" s="1281"/>
      <c r="N50" s="1281"/>
      <c r="O50" s="462"/>
      <c r="P50" s="285"/>
      <c r="Q50" s="304"/>
      <c r="R50" s="280"/>
      <c r="S50" s="1198"/>
      <c r="T50" s="300" t="s">
        <v>476</v>
      </c>
      <c r="U50" s="295"/>
      <c r="V50" s="295"/>
      <c r="W50" s="295"/>
      <c r="X50" s="295"/>
      <c r="Y50" s="295"/>
      <c r="Z50" s="295"/>
      <c r="AA50" s="295"/>
      <c r="AB50" s="294"/>
      <c r="AC50" s="295"/>
      <c r="AD50" s="295"/>
      <c r="AE50" s="295"/>
      <c r="AF50" s="295"/>
      <c r="AG50" s="295"/>
      <c r="AH50" s="295"/>
      <c r="AI50" s="294"/>
      <c r="AJ50" s="295"/>
      <c r="AK50" s="221"/>
      <c r="AM50" s="426"/>
      <c r="AN50" s="426" t="str">
        <f t="shared" si="1"/>
        <v>Добавить наименование признака дифференциации</v>
      </c>
      <c r="AO50" s="426"/>
      <c r="AP50" s="426"/>
    </row>
    <row r="51" spans="1:42" s="1930" customFormat="1" ht="0" hidden="1" customHeight="1">
      <c r="A51" s="1260" t="s">
        <v>220</v>
      </c>
      <c r="B51" s="1260" t="s">
        <v>221</v>
      </c>
      <c r="C51" s="1232"/>
      <c r="D51" s="1232"/>
      <c r="E51" s="2271"/>
      <c r="F51" s="2270"/>
      <c r="G51" s="1232"/>
      <c r="H51" s="1232"/>
      <c r="I51" s="1232"/>
      <c r="J51" s="1232"/>
      <c r="K51" s="1232"/>
      <c r="L51" s="1371"/>
      <c r="M51" s="1239"/>
      <c r="N51" s="1239"/>
      <c r="P51" s="1234"/>
      <c r="Q51" s="1235"/>
      <c r="R51" s="1234"/>
      <c r="S51" s="1240"/>
      <c r="T51" s="1243" t="s">
        <v>215</v>
      </c>
      <c r="U51" s="1242"/>
      <c r="V51" s="1242"/>
      <c r="W51" s="1242"/>
      <c r="X51" s="1242"/>
      <c r="Y51" s="1242"/>
      <c r="Z51" s="1242"/>
      <c r="AA51" s="1242"/>
      <c r="AB51" s="1242"/>
      <c r="AC51" s="1242"/>
      <c r="AD51" s="1242"/>
      <c r="AE51" s="1242"/>
      <c r="AF51" s="1242"/>
      <c r="AG51" s="1242"/>
      <c r="AH51" s="1242"/>
      <c r="AI51" s="1242"/>
      <c r="AJ51" s="1242"/>
      <c r="AK51" s="1242"/>
      <c r="AM51" s="706"/>
      <c r="AN51" s="706" t="str">
        <f t="shared" si="1"/>
        <v>Добавить централизованную систему для дифференциации</v>
      </c>
      <c r="AO51" s="706"/>
      <c r="AP51" s="706"/>
    </row>
    <row r="52" spans="1:42" s="1820" customFormat="1" ht="0" hidden="1" customHeight="1">
      <c r="A52" s="1260" t="s">
        <v>220</v>
      </c>
      <c r="B52" s="1260"/>
      <c r="C52" s="1260"/>
      <c r="D52" s="1260"/>
      <c r="E52" s="2270"/>
      <c r="F52" s="1260"/>
      <c r="G52" s="1260"/>
      <c r="H52" s="1260"/>
      <c r="I52" s="1260"/>
      <c r="J52" s="1260"/>
      <c r="K52" s="1260"/>
      <c r="L52" s="1263"/>
      <c r="M52" s="1239"/>
      <c r="N52" s="1239"/>
      <c r="O52" s="444"/>
      <c r="P52" s="313"/>
      <c r="Q52" s="1261"/>
      <c r="R52" s="313"/>
      <c r="S52" s="1240"/>
      <c r="T52" s="1243" t="s">
        <v>216</v>
      </c>
      <c r="U52" s="1242"/>
      <c r="V52" s="1242"/>
      <c r="W52" s="1242"/>
      <c r="X52" s="1242"/>
      <c r="Y52" s="1242"/>
      <c r="Z52" s="1242"/>
      <c r="AA52" s="1242"/>
      <c r="AB52" s="1242"/>
      <c r="AC52" s="1242"/>
      <c r="AD52" s="1242"/>
      <c r="AE52" s="1242"/>
      <c r="AF52" s="1242"/>
      <c r="AG52" s="1242"/>
      <c r="AH52" s="1242"/>
      <c r="AI52" s="1242"/>
      <c r="AJ52" s="1242"/>
      <c r="AK52" s="1242"/>
      <c r="AM52" s="426"/>
      <c r="AN52" s="426" t="str">
        <f t="shared" si="1"/>
        <v>Добавить территорию для дифференциации</v>
      </c>
      <c r="AO52" s="426"/>
      <c r="AP52" s="426"/>
    </row>
    <row r="53" spans="1:42" s="1930" customFormat="1" ht="0" hidden="1" customHeight="1">
      <c r="A53" s="1232"/>
      <c r="B53" s="1232"/>
      <c r="C53" s="1232"/>
      <c r="D53" s="1232"/>
      <c r="E53" s="1260"/>
      <c r="F53" s="1232"/>
      <c r="G53" s="1232"/>
      <c r="H53" s="1232"/>
      <c r="I53" s="1232"/>
      <c r="J53" s="1232"/>
      <c r="K53" s="1232"/>
      <c r="L53" s="1371"/>
      <c r="M53" s="1239"/>
      <c r="N53" s="1239"/>
      <c r="P53" s="1234"/>
      <c r="Q53" s="1235"/>
      <c r="R53" s="1234"/>
      <c r="S53" s="1240"/>
      <c r="T53" s="1243" t="s">
        <v>217</v>
      </c>
      <c r="U53" s="1242"/>
      <c r="V53" s="1242"/>
      <c r="W53" s="1242"/>
      <c r="X53" s="1242"/>
      <c r="Y53" s="1242"/>
      <c r="Z53" s="1242"/>
      <c r="AA53" s="1242"/>
      <c r="AB53" s="1242"/>
      <c r="AC53" s="1242"/>
      <c r="AD53" s="1242"/>
      <c r="AE53" s="1242"/>
      <c r="AF53" s="1242"/>
      <c r="AG53" s="1242"/>
      <c r="AH53" s="1242"/>
      <c r="AI53" s="1242"/>
      <c r="AJ53" s="1242"/>
      <c r="AK53" s="1242"/>
      <c r="AM53" s="706"/>
      <c r="AN53" s="706" t="str">
        <f t="shared" si="1"/>
        <v>Добавить наименование тарифа</v>
      </c>
      <c r="AO53" s="706"/>
      <c r="AP53" s="706"/>
    </row>
    <row r="54" spans="1:42" ht="11.25" customHeight="1">
      <c r="M54" s="1060"/>
      <c r="N54" s="1060"/>
      <c r="O54" s="462"/>
      <c r="P54" s="1055"/>
      <c r="Q54" s="1055"/>
      <c r="R54" s="1055"/>
      <c r="S54" s="1055"/>
      <c r="AL54" s="1055"/>
      <c r="AM54" s="1055"/>
      <c r="AN54" s="1055"/>
      <c r="AO54" s="1055"/>
      <c r="AP54" s="1055"/>
    </row>
    <row r="55" spans="1:42" ht="14.25" customHeight="1">
      <c r="O55" s="462"/>
      <c r="S55" s="1164"/>
      <c r="T55" s="2290"/>
      <c r="U55" s="2290"/>
      <c r="V55" s="2290"/>
      <c r="W55" s="2290"/>
      <c r="X55" s="2290"/>
      <c r="Y55" s="2290"/>
      <c r="Z55" s="2290"/>
      <c r="AA55" s="2290"/>
      <c r="AB55" s="2290"/>
      <c r="AC55" s="2290"/>
      <c r="AD55" s="2290"/>
      <c r="AE55" s="2290"/>
      <c r="AF55" s="2290"/>
      <c r="AG55" s="2290"/>
      <c r="AH55" s="2290"/>
      <c r="AI55" s="2290"/>
      <c r="AJ55" s="2290"/>
      <c r="AK55" s="2290"/>
    </row>
    <row r="56" spans="1:42" ht="14.25" customHeight="1">
      <c r="O56" s="462"/>
    </row>
    <row r="57" spans="1:42" ht="14.25" customHeight="1">
      <c r="O57" s="462"/>
      <c r="S57" s="1164"/>
      <c r="T57" s="2290"/>
      <c r="U57" s="2290"/>
      <c r="V57" s="2290"/>
      <c r="W57" s="2290"/>
      <c r="X57" s="2290"/>
      <c r="Y57" s="2290"/>
      <c r="Z57" s="2290"/>
      <c r="AA57" s="2290"/>
      <c r="AB57" s="2290"/>
      <c r="AC57" s="2290"/>
      <c r="AD57" s="2290"/>
      <c r="AE57" s="2290"/>
      <c r="AF57" s="2290"/>
      <c r="AG57" s="2290"/>
      <c r="AH57" s="2290"/>
      <c r="AI57" s="2290"/>
      <c r="AJ57" s="2290"/>
      <c r="AK57" s="2290"/>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3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3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3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3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3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3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3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3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8745-CE22-5B45-8587-8089A948ABD8}">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4.140625" style="1931" hidden="1" customWidth="1"/>
    <col min="10" max="10" width="9.85546875" style="1931" hidden="1" customWidth="1"/>
    <col min="11" max="11" width="14.7109375" style="1931" hidden="1" customWidth="1"/>
    <col min="12" max="12" width="19.140625" style="2005" hidden="1" customWidth="1"/>
    <col min="13" max="14" width="12.28515625" style="1933" hidden="1" customWidth="1"/>
    <col min="15" max="15" width="23.42578125" style="1933" hidden="1" customWidth="1"/>
    <col min="16" max="16" width="3.7109375" style="2006" customWidth="1"/>
    <col min="17" max="18" width="3.7109375" style="1939" customWidth="1"/>
    <col min="19" max="19" width="12.7109375" style="1940" customWidth="1"/>
    <col min="20" max="20" width="35.7109375" style="1905" customWidth="1"/>
    <col min="21" max="21" width="0.140625" style="1905" customWidth="1"/>
    <col min="22" max="24" width="24.7109375" style="1905" hidden="1" customWidth="1"/>
    <col min="25" max="25" width="11.7109375" style="1905" hidden="1" customWidth="1"/>
    <col min="26" max="26" width="3.7109375" style="1905" hidden="1" customWidth="1"/>
    <col min="27" max="27" width="11.7109375" style="1905" hidden="1" customWidth="1"/>
    <col min="28" max="28" width="8.5703125" style="1905" hidden="1" customWidth="1"/>
    <col min="29" max="31" width="24.7109375" style="1905" customWidth="1"/>
    <col min="32" max="32" width="11.7109375" style="1905" customWidth="1"/>
    <col min="33" max="33" width="3.7109375" style="1905" customWidth="1"/>
    <col min="34" max="34" width="11.7109375" style="1905" customWidth="1"/>
    <col min="35" max="35" width="8.5703125" style="1905" hidden="1" customWidth="1"/>
    <col min="36" max="36" width="4.7109375" style="1905" customWidth="1"/>
    <col min="37" max="37" width="115.7109375" style="1905" customWidth="1"/>
    <col min="38" max="39" width="10.5703125" style="1820"/>
    <col min="40" max="40" width="11.140625" style="1820" customWidth="1"/>
    <col min="41" max="42" width="10.5703125" style="1820"/>
  </cols>
  <sheetData>
    <row r="1" spans="1:42" ht="14.25" hidden="1" customHeight="1">
      <c r="X1" s="253"/>
      <c r="Y1" s="253"/>
      <c r="AE1" s="253"/>
      <c r="AF1" s="253"/>
    </row>
    <row r="2" spans="1:42" ht="23.25" hidden="1" customHeight="1">
      <c r="A2" s="1279"/>
      <c r="B2" s="1279"/>
      <c r="C2" s="1279"/>
      <c r="D2" s="1279"/>
      <c r="E2" s="2270">
        <v>1</v>
      </c>
      <c r="F2" s="1279"/>
      <c r="G2" s="1279"/>
      <c r="H2" s="1279"/>
      <c r="I2" s="1279"/>
      <c r="J2" s="1279"/>
      <c r="K2" s="1279"/>
      <c r="L2" s="1280"/>
      <c r="M2" s="1281"/>
      <c r="N2" s="1281"/>
      <c r="O2" s="1281"/>
      <c r="P2" s="286"/>
      <c r="Q2" s="285"/>
      <c r="R2" s="280"/>
      <c r="S2" s="1370" t="e">
        <f>INDEX(PT_DIFFERENTIATION_NUM_NTAR,MATCH(A2,PT_DIFFERENTIATION_NTAR_ID,0))</f>
        <v>#N/A</v>
      </c>
      <c r="T2" s="216" t="s">
        <v>122</v>
      </c>
      <c r="U2" s="218"/>
      <c r="V2" s="2256"/>
      <c r="W2" s="2257"/>
      <c r="X2" s="2257"/>
      <c r="Y2" s="2257"/>
      <c r="Z2" s="2257"/>
      <c r="AA2" s="2257"/>
      <c r="AB2" s="2258"/>
      <c r="AC2" s="2256" t="e">
        <f>INDEX(PT_DIFFERENTIATION_NTAR,MATCH(A2,PT_DIFFERENTIATION_NTAR_ID,0))</f>
        <v>#N/A</v>
      </c>
      <c r="AD2" s="2257"/>
      <c r="AE2" s="2257"/>
      <c r="AF2" s="2257"/>
      <c r="AG2" s="2257"/>
      <c r="AH2" s="2257"/>
      <c r="AI2" s="2257"/>
      <c r="AJ2" s="2258"/>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79"/>
      <c r="B3" s="1279"/>
      <c r="C3" s="1279"/>
      <c r="D3" s="1279"/>
      <c r="E3" s="2271"/>
      <c r="F3" s="2270">
        <v>1</v>
      </c>
      <c r="G3" s="1279"/>
      <c r="H3" s="1279"/>
      <c r="I3" s="1279"/>
      <c r="J3" s="1279"/>
      <c r="K3" s="1279"/>
      <c r="L3" s="1280"/>
      <c r="M3" s="1281"/>
      <c r="N3" s="1281"/>
      <c r="O3" s="1281"/>
      <c r="P3" s="1366"/>
      <c r="Q3" s="277"/>
      <c r="R3" s="278"/>
      <c r="S3" s="1370" t="e">
        <f>INDEX(PT_DIFFERENTIATION_NUM_TER,MATCH(B3,PT_DIFFERENTIATION_TER_ID,0))</f>
        <v>#N/A</v>
      </c>
      <c r="T3" s="228" t="s">
        <v>388</v>
      </c>
      <c r="U3" s="218"/>
      <c r="V3" s="2256"/>
      <c r="W3" s="2257"/>
      <c r="X3" s="2257"/>
      <c r="Y3" s="2257"/>
      <c r="Z3" s="2257"/>
      <c r="AA3" s="2257"/>
      <c r="AB3" s="2258"/>
      <c r="AC3" s="2256" t="e">
        <f>INDEX(PT_DIFFERENTIATION_TER,MATCH(B3,PT_DIFFERENTIATION_TER_ID,0))</f>
        <v>#N/A</v>
      </c>
      <c r="AD3" s="2257"/>
      <c r="AE3" s="2257"/>
      <c r="AF3" s="2257"/>
      <c r="AG3" s="2257"/>
      <c r="AH3" s="2257"/>
      <c r="AI3" s="2257"/>
      <c r="AJ3" s="2258"/>
      <c r="AK3" s="1177" t="s">
        <v>389</v>
      </c>
      <c r="AM3" s="426"/>
      <c r="AN3" s="426" t="str">
        <f t="shared" si="0"/>
        <v>Территория действия тарифа</v>
      </c>
      <c r="AO3" s="426"/>
      <c r="AP3" s="426"/>
    </row>
    <row r="4" spans="1:42" ht="23.25" hidden="1" customHeight="1">
      <c r="A4" s="1279"/>
      <c r="B4" s="1279"/>
      <c r="C4" s="1279"/>
      <c r="D4" s="1279"/>
      <c r="E4" s="2271"/>
      <c r="F4" s="2271"/>
      <c r="G4" s="2270">
        <v>1</v>
      </c>
      <c r="H4" s="1279"/>
      <c r="I4" s="1279"/>
      <c r="J4" s="1279"/>
      <c r="K4" s="1279"/>
      <c r="L4" s="1280"/>
      <c r="M4" s="1281"/>
      <c r="N4" s="1281"/>
      <c r="O4" s="1281"/>
      <c r="P4" s="279"/>
      <c r="Q4" s="277"/>
      <c r="R4" s="278"/>
      <c r="S4" s="1370" t="e">
        <f>INDEX(PT_DIFFERENTIATION_NUM_CS,MATCH(C4,PT_DIFFERENTIATION_CS_ID,0))</f>
        <v>#N/A</v>
      </c>
      <c r="T4" s="229" t="s">
        <v>469</v>
      </c>
      <c r="U4" s="218"/>
      <c r="V4" s="2256"/>
      <c r="W4" s="2257"/>
      <c r="X4" s="2257"/>
      <c r="Y4" s="2257"/>
      <c r="Z4" s="2257"/>
      <c r="AA4" s="2257"/>
      <c r="AB4" s="2258"/>
      <c r="AC4" s="2256" t="e">
        <f>INDEX(PT_DIFFERENTIATION_CS,MATCH(C4,PT_DIFFERENTIATION_CS_ID,0))</f>
        <v>#N/A</v>
      </c>
      <c r="AD4" s="2257"/>
      <c r="AE4" s="2257"/>
      <c r="AF4" s="2257"/>
      <c r="AG4" s="2257"/>
      <c r="AH4" s="2257"/>
      <c r="AI4" s="2257"/>
      <c r="AJ4" s="2258"/>
      <c r="AK4" s="1177" t="s">
        <v>470</v>
      </c>
      <c r="AM4" s="426"/>
      <c r="AN4" s="426" t="str">
        <f t="shared" si="0"/>
        <v>Наименование централизованной системы холодного водоснабжения</v>
      </c>
      <c r="AO4" s="426"/>
      <c r="AP4" s="426"/>
    </row>
    <row r="5" spans="1:42" ht="23.25" hidden="1" customHeight="1">
      <c r="A5" s="1279"/>
      <c r="B5" s="1279"/>
      <c r="C5" s="1279"/>
      <c r="D5" s="1279"/>
      <c r="E5" s="2271"/>
      <c r="F5" s="2271"/>
      <c r="G5" s="2271"/>
      <c r="H5" s="2271"/>
      <c r="I5" s="2268" t="e">
        <f>S4&amp;".1"</f>
        <v>#N/A</v>
      </c>
      <c r="J5" s="1279"/>
      <c r="K5" s="1279"/>
      <c r="L5" s="1280"/>
      <c r="P5" s="2269">
        <v>1</v>
      </c>
      <c r="Q5" s="1363"/>
      <c r="R5" s="281"/>
      <c r="S5" s="1370" t="e">
        <f>$I5</f>
        <v>#N/A</v>
      </c>
      <c r="T5" s="203" t="s">
        <v>471</v>
      </c>
      <c r="U5" s="218"/>
      <c r="V5" s="2329"/>
      <c r="W5" s="2330"/>
      <c r="X5" s="2330"/>
      <c r="Y5" s="2330"/>
      <c r="Z5" s="2330"/>
      <c r="AA5" s="2330"/>
      <c r="AB5" s="2331"/>
      <c r="AC5" s="2332"/>
      <c r="AD5" s="2333"/>
      <c r="AE5" s="2333"/>
      <c r="AF5" s="2333"/>
      <c r="AG5" s="2333"/>
      <c r="AH5" s="2333"/>
      <c r="AI5" s="2333"/>
      <c r="AJ5" s="2334"/>
      <c r="AK5" s="1177" t="s">
        <v>472</v>
      </c>
      <c r="AM5" s="426"/>
      <c r="AN5" s="426" t="str">
        <f t="shared" si="0"/>
        <v>Наименование признака дифференциации</v>
      </c>
      <c r="AO5" s="426"/>
      <c r="AP5" s="426"/>
    </row>
    <row r="6" spans="1:42" ht="23.25" hidden="1" customHeight="1">
      <c r="A6" s="1279"/>
      <c r="B6" s="1279"/>
      <c r="C6" s="1279"/>
      <c r="D6" s="1279"/>
      <c r="E6" s="2271"/>
      <c r="F6" s="2271"/>
      <c r="G6" s="2271"/>
      <c r="H6" s="2271"/>
      <c r="I6" s="2291"/>
      <c r="J6" s="2268" t="e">
        <f>I5&amp;".1"</f>
        <v>#N/A</v>
      </c>
      <c r="K6" s="1279"/>
      <c r="L6" s="1280" t="s">
        <v>397</v>
      </c>
      <c r="P6" s="2269"/>
      <c r="Q6" s="2269">
        <v>1</v>
      </c>
      <c r="R6" s="282"/>
      <c r="S6" s="1370" t="e">
        <f>$J6</f>
        <v>#N/A</v>
      </c>
      <c r="T6" s="204" t="s">
        <v>398</v>
      </c>
      <c r="U6" s="218"/>
      <c r="V6" s="2259"/>
      <c r="W6" s="2260"/>
      <c r="X6" s="2260"/>
      <c r="Y6" s="2260"/>
      <c r="Z6" s="2260"/>
      <c r="AA6" s="2260"/>
      <c r="AB6" s="2261"/>
      <c r="AC6" s="2259"/>
      <c r="AD6" s="2260"/>
      <c r="AE6" s="2260"/>
      <c r="AF6" s="2260"/>
      <c r="AG6" s="2260"/>
      <c r="AH6" s="2260"/>
      <c r="AI6" s="2260"/>
      <c r="AJ6" s="2261"/>
      <c r="AK6" s="1226" t="s">
        <v>473</v>
      </c>
      <c r="AM6" s="426"/>
      <c r="AN6" s="426" t="str">
        <f t="shared" si="0"/>
        <v>Группа потребителей</v>
      </c>
      <c r="AO6" s="426"/>
      <c r="AP6" s="426"/>
    </row>
    <row r="7" spans="1:42" ht="23.25" hidden="1" customHeight="1">
      <c r="A7" s="1279"/>
      <c r="B7" s="1279"/>
      <c r="C7" s="1279"/>
      <c r="D7" s="1279"/>
      <c r="E7" s="2271"/>
      <c r="F7" s="2271"/>
      <c r="G7" s="2271"/>
      <c r="H7" s="2271"/>
      <c r="I7" s="2291"/>
      <c r="J7" s="2291"/>
      <c r="K7" s="2268" t="e">
        <f>J6&amp;".1"</f>
        <v>#N/A</v>
      </c>
      <c r="L7" s="1280"/>
      <c r="P7" s="2269"/>
      <c r="Q7" s="2269"/>
      <c r="R7" s="282">
        <v>1</v>
      </c>
      <c r="S7" s="1370" t="e">
        <f>$K7</f>
        <v>#N/A</v>
      </c>
      <c r="T7" s="1352"/>
      <c r="U7" s="218"/>
      <c r="V7" s="668"/>
      <c r="W7" s="668"/>
      <c r="X7" s="1176"/>
      <c r="Y7" s="2273"/>
      <c r="Z7" s="2124" t="s">
        <v>61</v>
      </c>
      <c r="AA7" s="2273"/>
      <c r="AB7" s="2124" t="s">
        <v>61</v>
      </c>
      <c r="AC7" s="668"/>
      <c r="AD7" s="668"/>
      <c r="AE7" s="1176"/>
      <c r="AF7" s="2273"/>
      <c r="AG7" s="2124" t="s">
        <v>61</v>
      </c>
      <c r="AH7" s="2292"/>
      <c r="AI7" s="2124" t="s">
        <v>61</v>
      </c>
      <c r="AJ7" s="1353"/>
      <c r="AK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79"/>
      <c r="B8" s="1279"/>
      <c r="C8" s="1279"/>
      <c r="D8" s="1279"/>
      <c r="E8" s="2271"/>
      <c r="F8" s="2271"/>
      <c r="G8" s="2271"/>
      <c r="H8" s="2271"/>
      <c r="I8" s="2291"/>
      <c r="J8" s="2291"/>
      <c r="K8" s="2268"/>
      <c r="L8" s="1280"/>
      <c r="P8" s="2269"/>
      <c r="Q8" s="2269"/>
      <c r="R8" s="282"/>
      <c r="S8" s="1369"/>
      <c r="T8" s="218"/>
      <c r="U8" s="218"/>
      <c r="V8" s="250"/>
      <c r="W8" s="250"/>
      <c r="X8" s="254" t="str">
        <f>Y7&amp;"-"&amp;AA7</f>
        <v>-</v>
      </c>
      <c r="Y8" s="2274"/>
      <c r="Z8" s="2124"/>
      <c r="AA8" s="2274"/>
      <c r="AB8" s="2124"/>
      <c r="AC8" s="250"/>
      <c r="AD8" s="250"/>
      <c r="AE8" s="254" t="str">
        <f>AF7&amp;"-"&amp;AH7</f>
        <v>-</v>
      </c>
      <c r="AF8" s="2274"/>
      <c r="AG8" s="2124"/>
      <c r="AH8" s="2293"/>
      <c r="AI8" s="2124"/>
      <c r="AJ8" s="1354"/>
      <c r="AK8" s="2328"/>
      <c r="AM8" s="426"/>
      <c r="AN8" s="426" t="str">
        <f t="shared" si="0"/>
        <v/>
      </c>
      <c r="AO8" s="426"/>
      <c r="AP8" s="426"/>
    </row>
    <row r="9" spans="1:42" ht="21" hidden="1" customHeight="1">
      <c r="A9" s="1279"/>
      <c r="B9" s="1279"/>
      <c r="C9" s="1279"/>
      <c r="D9" s="1279"/>
      <c r="E9" s="2271"/>
      <c r="F9" s="2271"/>
      <c r="G9" s="2271"/>
      <c r="H9" s="2271"/>
      <c r="I9" s="2291"/>
      <c r="J9" s="2268"/>
      <c r="K9" s="1279"/>
      <c r="L9" s="1280"/>
      <c r="P9" s="2269"/>
      <c r="Q9" s="2269"/>
      <c r="R9" s="281"/>
      <c r="S9" s="1198"/>
      <c r="T9" s="205" t="s">
        <v>474</v>
      </c>
      <c r="U9" s="295"/>
      <c r="V9" s="295"/>
      <c r="W9" s="295"/>
      <c r="X9" s="295"/>
      <c r="Y9" s="295"/>
      <c r="Z9" s="295"/>
      <c r="AA9" s="295"/>
      <c r="AB9" s="295"/>
      <c r="AC9" s="295"/>
      <c r="AD9" s="295"/>
      <c r="AE9" s="295"/>
      <c r="AF9" s="295"/>
      <c r="AG9" s="295"/>
      <c r="AH9" s="295"/>
      <c r="AI9" s="295"/>
      <c r="AJ9" s="295"/>
      <c r="AK9" s="1177" t="s">
        <v>475</v>
      </c>
      <c r="AM9" s="426"/>
      <c r="AN9" s="426" t="str">
        <f t="shared" si="0"/>
        <v>Добавить значение признака дифференциации</v>
      </c>
      <c r="AO9" s="426"/>
      <c r="AP9" s="426"/>
    </row>
    <row r="10" spans="1:42" ht="21" hidden="1" customHeight="1">
      <c r="A10" s="1279"/>
      <c r="B10" s="1279"/>
      <c r="C10" s="1279"/>
      <c r="D10" s="1279"/>
      <c r="E10" s="2271"/>
      <c r="F10" s="2271"/>
      <c r="G10" s="2271"/>
      <c r="H10" s="2271"/>
      <c r="I10" s="2268"/>
      <c r="J10" s="1279"/>
      <c r="K10" s="1279"/>
      <c r="L10" s="1280"/>
      <c r="P10" s="2269"/>
      <c r="Q10" s="1363"/>
      <c r="R10" s="281"/>
      <c r="S10" s="1198"/>
      <c r="T10" s="292" t="s">
        <v>403</v>
      </c>
      <c r="U10" s="295"/>
      <c r="V10" s="295"/>
      <c r="W10" s="295"/>
      <c r="X10" s="295"/>
      <c r="Y10" s="295"/>
      <c r="Z10" s="295"/>
      <c r="AA10" s="295"/>
      <c r="AB10" s="294"/>
      <c r="AC10" s="295"/>
      <c r="AD10" s="295"/>
      <c r="AE10" s="295"/>
      <c r="AF10" s="295"/>
      <c r="AG10" s="295"/>
      <c r="AH10" s="295"/>
      <c r="AI10" s="294"/>
      <c r="AJ10" s="295"/>
      <c r="AK10" s="1355"/>
      <c r="AM10" s="426"/>
      <c r="AN10" s="426" t="str">
        <f t="shared" si="0"/>
        <v>Добавить группу потребителей</v>
      </c>
      <c r="AO10" s="426"/>
      <c r="AP10" s="426"/>
    </row>
    <row r="11" spans="1:42" ht="21" hidden="1" customHeight="1">
      <c r="A11" s="1279"/>
      <c r="B11" s="1279"/>
      <c r="C11" s="1279"/>
      <c r="D11" s="1279"/>
      <c r="E11" s="2271"/>
      <c r="F11" s="2271"/>
      <c r="G11" s="2271"/>
      <c r="H11" s="2270"/>
      <c r="I11" s="1279"/>
      <c r="J11" s="1279"/>
      <c r="K11" s="1279"/>
      <c r="L11" s="1280"/>
      <c r="M11" s="1281"/>
      <c r="N11" s="1281"/>
      <c r="O11" s="462"/>
      <c r="P11" s="285"/>
      <c r="Q11" s="304"/>
      <c r="R11" s="280"/>
      <c r="S11" s="1198"/>
      <c r="T11" s="300" t="s">
        <v>476</v>
      </c>
      <c r="U11" s="295"/>
      <c r="V11" s="295"/>
      <c r="W11" s="295"/>
      <c r="X11" s="295"/>
      <c r="Y11" s="295"/>
      <c r="Z11" s="295"/>
      <c r="AA11" s="295"/>
      <c r="AB11" s="294"/>
      <c r="AC11" s="295"/>
      <c r="AD11" s="295"/>
      <c r="AE11" s="295"/>
      <c r="AF11" s="295"/>
      <c r="AG11" s="295"/>
      <c r="AH11" s="295"/>
      <c r="AI11" s="294"/>
      <c r="AJ11" s="295"/>
      <c r="AK11" s="221"/>
      <c r="AM11" s="426"/>
      <c r="AN11" s="426" t="str">
        <f t="shared" si="0"/>
        <v>Добавить наименование признака дифференциации</v>
      </c>
      <c r="AO11" s="426"/>
      <c r="AP11" s="426"/>
    </row>
    <row r="12" spans="1:42" s="1930" customFormat="1" ht="14.25" hidden="1" customHeight="1">
      <c r="A12" s="1260"/>
      <c r="B12" s="1260"/>
      <c r="C12" s="1232"/>
      <c r="D12" s="1232"/>
      <c r="E12" s="2271"/>
      <c r="F12" s="2270"/>
      <c r="G12" s="1232"/>
      <c r="H12" s="1232"/>
      <c r="I12" s="1232"/>
      <c r="J12" s="1232"/>
      <c r="K12" s="1232"/>
      <c r="L12" s="1371"/>
      <c r="M12" s="1239"/>
      <c r="N12" s="1239"/>
      <c r="P12" s="1234"/>
      <c r="Q12" s="1235"/>
      <c r="R12" s="1234"/>
      <c r="S12" s="1240"/>
      <c r="T12" s="1243" t="s">
        <v>215</v>
      </c>
      <c r="U12" s="1242"/>
      <c r="V12" s="1242"/>
      <c r="W12" s="1242"/>
      <c r="X12" s="1242"/>
      <c r="Y12" s="1242"/>
      <c r="Z12" s="1242"/>
      <c r="AA12" s="1242"/>
      <c r="AB12" s="1242"/>
      <c r="AC12" s="1242"/>
      <c r="AD12" s="1242"/>
      <c r="AE12" s="1242"/>
      <c r="AF12" s="1242"/>
      <c r="AG12" s="1242"/>
      <c r="AH12" s="1242"/>
      <c r="AI12" s="1242"/>
      <c r="AJ12" s="1242"/>
      <c r="AK12" s="1242"/>
      <c r="AM12" s="706"/>
      <c r="AN12" s="706" t="str">
        <f t="shared" si="0"/>
        <v>Добавить централизованную систему для дифференциации</v>
      </c>
      <c r="AO12" s="706"/>
      <c r="AP12" s="706"/>
    </row>
    <row r="13" spans="1:42" s="1820" customFormat="1" ht="14.25" hidden="1" customHeight="1">
      <c r="A13" s="1260"/>
      <c r="B13" s="1260"/>
      <c r="C13" s="1260"/>
      <c r="D13" s="1260"/>
      <c r="E13" s="2270"/>
      <c r="F13" s="1260"/>
      <c r="G13" s="1260"/>
      <c r="H13" s="1260"/>
      <c r="I13" s="1260"/>
      <c r="J13" s="1260"/>
      <c r="K13" s="1260"/>
      <c r="L13" s="1263"/>
      <c r="M13" s="1239"/>
      <c r="N13" s="1239"/>
      <c r="O13" s="444"/>
      <c r="P13" s="313"/>
      <c r="Q13" s="1261"/>
      <c r="R13" s="313"/>
      <c r="S13" s="1240"/>
      <c r="T13" s="1243" t="s">
        <v>216</v>
      </c>
      <c r="U13" s="1242"/>
      <c r="V13" s="1242"/>
      <c r="W13" s="1242"/>
      <c r="X13" s="1242"/>
      <c r="Y13" s="1242"/>
      <c r="Z13" s="1242"/>
      <c r="AA13" s="1242"/>
      <c r="AB13" s="1242"/>
      <c r="AC13" s="1242"/>
      <c r="AD13" s="1242"/>
      <c r="AE13" s="1242"/>
      <c r="AF13" s="1242"/>
      <c r="AG13" s="1242"/>
      <c r="AH13" s="1242"/>
      <c r="AI13" s="1242"/>
      <c r="AJ13" s="1242"/>
      <c r="AK13" s="1242"/>
      <c r="AM13" s="426"/>
      <c r="AN13" s="426" t="str">
        <f t="shared" si="0"/>
        <v>Добавить территорию для дифференциации</v>
      </c>
      <c r="AO13" s="426"/>
      <c r="AP13" s="426"/>
    </row>
    <row r="14" spans="1:42" ht="14.25" hidden="1" customHeight="1">
      <c r="AB14" s="253"/>
      <c r="AI14" s="253"/>
    </row>
    <row r="15" spans="1:42" ht="14.25" hidden="1" customHeight="1">
      <c r="AC15" s="1276"/>
      <c r="AD15" s="1276"/>
      <c r="AE15" s="1277"/>
      <c r="AF15" s="2275"/>
      <c r="AG15" s="2276" t="s">
        <v>61</v>
      </c>
      <c r="AH15" s="2275"/>
      <c r="AI15" s="2276" t="s">
        <v>61</v>
      </c>
    </row>
    <row r="16" spans="1:42" ht="14.25" hidden="1" customHeight="1">
      <c r="AC16" s="1276"/>
      <c r="AD16" s="1276"/>
      <c r="AE16" s="254" t="str">
        <f>AF15&amp;"-"&amp;AH15</f>
        <v>-</v>
      </c>
      <c r="AF16" s="2276"/>
      <c r="AG16" s="2276"/>
      <c r="AH16" s="2276"/>
      <c r="AI16" s="2276"/>
    </row>
    <row r="17" spans="1:42" ht="14.25" hidden="1" customHeight="1">
      <c r="AI17" s="253"/>
    </row>
    <row r="18" spans="1:42" s="1931" customFormat="1" ht="22.5" hidden="1" customHeight="1">
      <c r="L18" s="1360"/>
      <c r="M18" s="1278"/>
      <c r="N18" s="1278"/>
      <c r="O18" s="1283" t="s">
        <v>406</v>
      </c>
      <c r="P18" s="1278"/>
      <c r="Q18" s="1287"/>
      <c r="R18" s="1287"/>
      <c r="S18" s="648"/>
      <c r="Y18" s="1283"/>
      <c r="AA18" s="1283"/>
      <c r="AB18" s="1282"/>
      <c r="AF18" s="1283"/>
      <c r="AH18" s="1283"/>
      <c r="AI18" s="1282"/>
      <c r="AL18" s="437"/>
      <c r="AM18" s="437"/>
      <c r="AN18" s="437"/>
      <c r="AO18" s="437"/>
      <c r="AP18" s="437"/>
    </row>
    <row r="19" spans="1:42" s="1931" customFormat="1" ht="14.25" hidden="1" customHeight="1">
      <c r="L19" s="1360"/>
      <c r="M19" s="1278"/>
      <c r="N19" s="1278"/>
      <c r="O19" s="1278"/>
      <c r="P19" s="1278"/>
      <c r="Q19" s="1287"/>
      <c r="R19" s="1287"/>
      <c r="S19" s="648"/>
      <c r="AB19" s="1282"/>
      <c r="AI19" s="1282"/>
      <c r="AL19" s="437"/>
      <c r="AM19" s="437"/>
      <c r="AN19" s="437"/>
      <c r="AO19" s="437"/>
      <c r="AP19" s="437"/>
    </row>
    <row r="20" spans="1:42" s="1931" customFormat="1" ht="12" hidden="1" customHeight="1">
      <c r="L20" s="1360"/>
      <c r="M20" s="1278"/>
      <c r="N20" s="1278"/>
      <c r="O20" s="1280" t="s">
        <v>407</v>
      </c>
      <c r="P20" s="1278"/>
      <c r="Q20" s="1356"/>
      <c r="R20" s="1356"/>
      <c r="S20" s="648"/>
      <c r="T20" s="1060" t="s">
        <v>408</v>
      </c>
      <c r="Z20" s="107" t="s">
        <v>409</v>
      </c>
      <c r="AB20" s="107" t="s">
        <v>410</v>
      </c>
      <c r="AC20" s="1060" t="s">
        <v>408</v>
      </c>
      <c r="AG20" s="107" t="s">
        <v>411</v>
      </c>
      <c r="AI20" s="107" t="s">
        <v>410</v>
      </c>
    </row>
    <row r="21" spans="1:42" ht="14.25" hidden="1" customHeight="1">
      <c r="O21" s="1280"/>
    </row>
    <row r="22" spans="1:42" ht="14.25" hidden="1" customHeight="1">
      <c r="O22" s="1280"/>
    </row>
    <row r="23" spans="1:42" ht="14.25" customHeight="1">
      <c r="Q23" s="305"/>
      <c r="R23" s="305"/>
      <c r="S23" s="1195"/>
      <c r="T23" s="290"/>
      <c r="U23" s="290"/>
      <c r="V23" s="435"/>
      <c r="W23" s="435"/>
      <c r="X23" s="435"/>
      <c r="Y23" s="435"/>
      <c r="Z23" s="435"/>
      <c r="AA23" s="435"/>
      <c r="AB23" s="435"/>
      <c r="AC23" s="435"/>
      <c r="AD23" s="435"/>
      <c r="AE23" s="435"/>
      <c r="AF23" s="435"/>
      <c r="AG23" s="435"/>
      <c r="AH23" s="435"/>
      <c r="AI23" s="435"/>
    </row>
    <row r="24" spans="1:42" ht="14.25" customHeight="1">
      <c r="Q24" s="305"/>
      <c r="R24" s="305"/>
      <c r="S24" s="225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54"/>
      <c r="U24" s="2254"/>
      <c r="V24" s="2254"/>
      <c r="W24" s="2254"/>
      <c r="X24" s="2254"/>
      <c r="Y24" s="2254"/>
      <c r="Z24" s="2254"/>
      <c r="AA24" s="2254"/>
      <c r="AB24" s="2254"/>
      <c r="AC24" s="2254"/>
      <c r="AD24" s="2254"/>
      <c r="AE24" s="2254"/>
      <c r="AF24" s="2254"/>
      <c r="AG24" s="2254"/>
      <c r="AH24" s="2254"/>
      <c r="AI24" s="1152"/>
    </row>
    <row r="25" spans="1:42" ht="14.25" customHeight="1">
      <c r="Q25" s="305"/>
      <c r="R25" s="305"/>
      <c r="S25" s="2200" t="str">
        <f>IF(org=0,"Не определено",org)</f>
        <v>ПАО "Юнипро"</v>
      </c>
      <c r="T25" s="2200"/>
      <c r="U25" s="2200"/>
      <c r="V25" s="2200"/>
      <c r="W25" s="2200"/>
      <c r="X25" s="2200"/>
      <c r="Y25" s="2200"/>
      <c r="Z25" s="2200"/>
      <c r="AA25" s="2200"/>
      <c r="AB25" s="2200"/>
      <c r="AC25" s="2200"/>
      <c r="AD25" s="2200"/>
      <c r="AE25" s="2200"/>
      <c r="AF25" s="2200"/>
      <c r="AG25" s="2200"/>
      <c r="AH25" s="2200"/>
      <c r="AI25" s="1152"/>
    </row>
    <row r="26" spans="1:42" ht="14.25" customHeight="1">
      <c r="Q26" s="305"/>
      <c r="R26" s="305"/>
      <c r="S26" s="1195"/>
      <c r="T26" s="290"/>
      <c r="U26" s="290"/>
      <c r="V26" s="246"/>
      <c r="W26" s="246"/>
      <c r="X26" s="246"/>
      <c r="Y26" s="246"/>
      <c r="Z26" s="246"/>
      <c r="AA26" s="246"/>
      <c r="AB26" s="246"/>
      <c r="AC26" s="246"/>
      <c r="AD26" s="246"/>
      <c r="AE26" s="246"/>
      <c r="AF26" s="246"/>
      <c r="AG26" s="246"/>
      <c r="AH26" s="246"/>
      <c r="AI26" s="246"/>
      <c r="AJ26" s="435"/>
    </row>
    <row r="27" spans="1:42" s="1936" customFormat="1" ht="25.5" customHeight="1">
      <c r="A27" s="1284"/>
      <c r="B27" s="1284"/>
      <c r="C27" s="1284"/>
      <c r="D27" s="1284"/>
      <c r="E27" s="1284"/>
      <c r="F27" s="1284"/>
      <c r="G27" s="1284"/>
      <c r="H27" s="1284"/>
      <c r="I27" s="1284"/>
      <c r="J27" s="1284"/>
      <c r="K27" s="1284"/>
      <c r="L27" s="1285"/>
      <c r="M27" s="1284"/>
      <c r="N27" s="1284"/>
      <c r="O27" s="1284"/>
      <c r="S27" s="2262" t="s">
        <v>38</v>
      </c>
      <c r="T27" s="2262"/>
      <c r="U27" s="1288"/>
      <c r="V27" s="2263" t="str">
        <f>IF(TITLE_NAME_OR_PR_CHANGE="",IF(TITLE_NAME_OR_PR="","",TITLE_NAME_OR_PR),TITLE_NAME_OR_PR_CHANGE)</f>
        <v>Министерство тарифной политики Красноярского края</v>
      </c>
      <c r="W27" s="2263"/>
      <c r="X27" s="2263"/>
      <c r="Y27" s="2263"/>
      <c r="Z27" s="2263"/>
      <c r="AA27" s="2263"/>
      <c r="AB27" s="252"/>
      <c r="AC27" s="2263" t="str">
        <f>IF(TITLE_NAME_OR_PR_CHANGE="",IF(TITLE_NAME_OR_PR="","",TITLE_NAME_OR_PR),TITLE_NAME_OR_PR_CHANGE)</f>
        <v>Министерство тарифной политики Красноярского края</v>
      </c>
      <c r="AD27" s="2263"/>
      <c r="AE27" s="2263"/>
      <c r="AF27" s="2263"/>
      <c r="AG27" s="2263"/>
      <c r="AH27" s="2263"/>
      <c r="AI27" s="252"/>
      <c r="AJ27" s="252"/>
      <c r="AK27" s="199"/>
      <c r="AL27" s="296"/>
      <c r="AM27" s="296"/>
      <c r="AN27" s="296"/>
      <c r="AO27" s="296"/>
      <c r="AP27" s="296"/>
    </row>
    <row r="28" spans="1:42" s="1936" customFormat="1" ht="18.75" customHeight="1">
      <c r="A28" s="1284"/>
      <c r="B28" s="1284"/>
      <c r="C28" s="1284"/>
      <c r="D28" s="1284"/>
      <c r="E28" s="1284"/>
      <c r="F28" s="1284"/>
      <c r="G28" s="1284"/>
      <c r="H28" s="1284"/>
      <c r="I28" s="1284"/>
      <c r="J28" s="1284"/>
      <c r="K28" s="1284"/>
      <c r="L28" s="1285"/>
      <c r="M28" s="1284"/>
      <c r="N28" s="1284"/>
      <c r="O28" s="1284"/>
      <c r="S28" s="2262" t="s">
        <v>412</v>
      </c>
      <c r="T28" s="2262"/>
      <c r="U28" s="1288"/>
      <c r="V28" s="2272">
        <f>IF(TITLE_DATE_PR_CHANGE="",IF(TITLE_DATE_PR="","",TITLE_DATE_PR),TITLE_DATE_PR_CHANGE)</f>
        <v>45278.357847222222</v>
      </c>
      <c r="W28" s="2272"/>
      <c r="X28" s="2272"/>
      <c r="Y28" s="2272"/>
      <c r="Z28" s="2272"/>
      <c r="AA28" s="2272"/>
      <c r="AB28" s="252"/>
      <c r="AC28" s="2272">
        <f>IF(TITLE_DATE_PR_CHANGE="",IF(TITLE_DATE_PR="","",TITLE_DATE_PR),TITLE_DATE_PR_CHANGE)</f>
        <v>45278.357847222222</v>
      </c>
      <c r="AD28" s="2272"/>
      <c r="AE28" s="2272"/>
      <c r="AF28" s="2272"/>
      <c r="AG28" s="2272"/>
      <c r="AH28" s="2272"/>
      <c r="AI28" s="252"/>
      <c r="AJ28" s="252"/>
      <c r="AK28" s="199"/>
      <c r="AL28" s="296"/>
      <c r="AM28" s="296"/>
      <c r="AN28" s="296"/>
      <c r="AO28" s="296"/>
      <c r="AP28" s="296"/>
    </row>
    <row r="29" spans="1:42" s="1936" customFormat="1" ht="18.75" customHeight="1">
      <c r="A29" s="1284"/>
      <c r="B29" s="1284"/>
      <c r="C29" s="1284"/>
      <c r="D29" s="1284"/>
      <c r="E29" s="1284"/>
      <c r="F29" s="1284"/>
      <c r="G29" s="1284"/>
      <c r="H29" s="1284"/>
      <c r="I29" s="1284"/>
      <c r="J29" s="1284"/>
      <c r="K29" s="1284"/>
      <c r="L29" s="1285"/>
      <c r="M29" s="1284"/>
      <c r="N29" s="1284"/>
      <c r="O29" s="1284"/>
      <c r="S29" s="2262" t="s">
        <v>413</v>
      </c>
      <c r="T29" s="2262"/>
      <c r="U29" s="1288"/>
      <c r="V29" s="2263" t="str">
        <f>IF(TITLE_NUMBER_PR_CHANGE="",IF(TITLE_NUMBER_PR="","",TITLE_NUMBER_PR),TITLE_NUMBER_PR_CHANGE)</f>
        <v>924-в</v>
      </c>
      <c r="W29" s="2263"/>
      <c r="X29" s="2263"/>
      <c r="Y29" s="2263"/>
      <c r="Z29" s="2263"/>
      <c r="AA29" s="2263"/>
      <c r="AB29" s="252"/>
      <c r="AC29" s="2263" t="str">
        <f>IF(TITLE_NUMBER_PR_CHANGE="",IF(TITLE_NUMBER_PR="","",TITLE_NUMBER_PR),TITLE_NUMBER_PR_CHANGE)</f>
        <v>924-в</v>
      </c>
      <c r="AD29" s="2263"/>
      <c r="AE29" s="2263"/>
      <c r="AF29" s="2263"/>
      <c r="AG29" s="2263"/>
      <c r="AH29" s="2263"/>
      <c r="AI29" s="252"/>
      <c r="AJ29" s="252"/>
      <c r="AK29" s="199"/>
      <c r="AL29" s="296"/>
      <c r="AM29" s="296"/>
      <c r="AN29" s="296"/>
      <c r="AO29" s="296"/>
      <c r="AP29" s="296"/>
    </row>
    <row r="30" spans="1:42" s="1936" customFormat="1" ht="18.75" customHeight="1">
      <c r="A30" s="1284"/>
      <c r="B30" s="1284"/>
      <c r="C30" s="1284"/>
      <c r="D30" s="1284"/>
      <c r="E30" s="1284"/>
      <c r="F30" s="1284"/>
      <c r="G30" s="1284"/>
      <c r="H30" s="1284"/>
      <c r="I30" s="1284"/>
      <c r="J30" s="1284"/>
      <c r="K30" s="1284"/>
      <c r="L30" s="1285"/>
      <c r="M30" s="1284"/>
      <c r="N30" s="1284"/>
      <c r="O30" s="1284"/>
      <c r="S30" s="2262" t="s">
        <v>40</v>
      </c>
      <c r="T30" s="2262"/>
      <c r="U30" s="1288"/>
      <c r="V30" s="2263" t="str">
        <f>IF(TITLE_IST_PUB_CHANGE="",IF(TITLE_IST_PUB="","",TITLE_IST_PUB),TITLE_IST_PUB_CHANGE)</f>
        <v>Официальный интернет-портал правовой информации Красноярского края (http://www.zakon.krskstate.ru/)</v>
      </c>
      <c r="W30" s="2263"/>
      <c r="X30" s="2263"/>
      <c r="Y30" s="2263"/>
      <c r="Z30" s="2263"/>
      <c r="AA30" s="2263"/>
      <c r="AB30" s="252"/>
      <c r="AC30" s="2263" t="str">
        <f>IF(TITLE_IST_PUB_CHANGE="",IF(TITLE_IST_PUB="","",TITLE_IST_PUB),TITLE_IST_PUB_CHANGE)</f>
        <v>Официальный интернет-портал правовой информации Красноярского края (http://www.zakon.krskstate.ru/)</v>
      </c>
      <c r="AD30" s="2263"/>
      <c r="AE30" s="2263"/>
      <c r="AF30" s="2263"/>
      <c r="AG30" s="2263"/>
      <c r="AH30" s="2263"/>
      <c r="AI30" s="252"/>
      <c r="AJ30" s="252"/>
      <c r="AK30" s="199"/>
      <c r="AL30" s="296"/>
      <c r="AM30" s="296"/>
      <c r="AN30" s="296"/>
      <c r="AO30" s="296"/>
      <c r="AP30" s="296"/>
    </row>
    <row r="31" spans="1:42" ht="14.25" hidden="1" customHeight="1">
      <c r="Q31" s="305"/>
      <c r="R31" s="305"/>
      <c r="S31" s="1195"/>
      <c r="T31" s="290"/>
      <c r="U31" s="290"/>
      <c r="V31" s="246"/>
      <c r="W31" s="246"/>
      <c r="X31" s="246"/>
      <c r="Y31" s="246"/>
      <c r="Z31" s="246"/>
      <c r="AA31" s="246"/>
      <c r="AB31" s="246"/>
      <c r="AC31" s="246"/>
      <c r="AD31" s="246"/>
      <c r="AE31" s="246"/>
      <c r="AF31" s="246"/>
      <c r="AG31" s="246"/>
      <c r="AH31" s="246"/>
      <c r="AI31" s="246"/>
      <c r="AJ31" s="435"/>
    </row>
    <row r="32" spans="1:42" s="1936" customFormat="1" ht="18.75" hidden="1" customHeight="1">
      <c r="A32" s="1284"/>
      <c r="B32" s="1284"/>
      <c r="C32" s="1284"/>
      <c r="D32" s="1284"/>
      <c r="E32" s="1284"/>
      <c r="F32" s="1284"/>
      <c r="G32" s="1284"/>
      <c r="H32" s="1284"/>
      <c r="I32" s="1284"/>
      <c r="J32" s="1284"/>
      <c r="K32" s="1284"/>
      <c r="L32" s="1285"/>
      <c r="M32" s="1284"/>
      <c r="N32" s="1284"/>
      <c r="O32" s="1284"/>
      <c r="S32" s="2262" t="s">
        <v>414</v>
      </c>
      <c r="T32" s="2262"/>
      <c r="U32" s="1288"/>
      <c r="V32" s="2272">
        <f>IF(TITLE_DATE_PR_CHANGE="",IF(TITLE_DATE_PR="","",TITLE_DATE_PR),TITLE_DATE_PR_CHANGE)</f>
        <v>45278.357847222222</v>
      </c>
      <c r="W32" s="2272"/>
      <c r="X32" s="2272"/>
      <c r="Y32" s="2272"/>
      <c r="Z32" s="2272"/>
      <c r="AA32" s="2272"/>
      <c r="AB32" s="252"/>
      <c r="AC32" s="2272">
        <f>IF(TITLE_DATE_PR_CHANGE="",IF(TITLE_DATE_PR="","",TITLE_DATE_PR),TITLE_DATE_PR_CHANGE)</f>
        <v>45278.357847222222</v>
      </c>
      <c r="AD32" s="2272"/>
      <c r="AE32" s="2272"/>
      <c r="AF32" s="2272"/>
      <c r="AG32" s="2272"/>
      <c r="AH32" s="2272"/>
      <c r="AI32" s="252"/>
      <c r="AJ32" s="252"/>
      <c r="AK32" s="199"/>
      <c r="AL32" s="296"/>
      <c r="AM32" s="296"/>
      <c r="AN32" s="296"/>
      <c r="AO32" s="296"/>
      <c r="AP32" s="296"/>
    </row>
    <row r="33" spans="1:42" s="1936" customFormat="1" ht="18.75" hidden="1" customHeight="1">
      <c r="A33" s="1284"/>
      <c r="B33" s="1284"/>
      <c r="C33" s="1284"/>
      <c r="D33" s="1284"/>
      <c r="E33" s="1284"/>
      <c r="F33" s="1284"/>
      <c r="G33" s="1284"/>
      <c r="H33" s="1284"/>
      <c r="I33" s="1284"/>
      <c r="J33" s="1284"/>
      <c r="K33" s="1284"/>
      <c r="L33" s="1285"/>
      <c r="M33" s="1284"/>
      <c r="N33" s="1284"/>
      <c r="O33" s="1284"/>
      <c r="S33" s="2262" t="s">
        <v>415</v>
      </c>
      <c r="T33" s="2262"/>
      <c r="U33" s="1288"/>
      <c r="V33" s="2263" t="str">
        <f>IF(TITLE_NUMBER_PR_CHANGE="",IF(TITLE_NUMBER_PR="","",TITLE_NUMBER_PR),TITLE_NUMBER_PR_CHANGE)</f>
        <v>924-в</v>
      </c>
      <c r="W33" s="2263"/>
      <c r="X33" s="2263"/>
      <c r="Y33" s="2263"/>
      <c r="Z33" s="2263"/>
      <c r="AA33" s="2263"/>
      <c r="AB33" s="252"/>
      <c r="AC33" s="2263" t="str">
        <f>IF(TITLE_NUMBER_PR_CHANGE="",IF(TITLE_NUMBER_PR="","",TITLE_NUMBER_PR),TITLE_NUMBER_PR_CHANGE)</f>
        <v>924-в</v>
      </c>
      <c r="AD33" s="2263"/>
      <c r="AE33" s="2263"/>
      <c r="AF33" s="2263"/>
      <c r="AG33" s="2263"/>
      <c r="AH33" s="2263"/>
      <c r="AI33" s="252"/>
      <c r="AJ33" s="252"/>
      <c r="AK33" s="199"/>
      <c r="AL33" s="296"/>
      <c r="AM33" s="296"/>
      <c r="AN33" s="296"/>
      <c r="AO33" s="296"/>
      <c r="AP33" s="296"/>
    </row>
    <row r="34" spans="1:42" s="1936" customFormat="1" ht="0.75" customHeight="1">
      <c r="A34" s="1284"/>
      <c r="B34" s="1284"/>
      <c r="C34" s="1284"/>
      <c r="D34" s="1284"/>
      <c r="E34" s="1284"/>
      <c r="F34" s="1284"/>
      <c r="G34" s="1284"/>
      <c r="H34" s="1284"/>
      <c r="I34" s="1284"/>
      <c r="J34" s="1284"/>
      <c r="K34" s="1284"/>
      <c r="L34" s="1285"/>
      <c r="M34" s="1284"/>
      <c r="N34" s="1284"/>
      <c r="O34" s="1284"/>
      <c r="S34" s="248"/>
      <c r="T34" s="248"/>
      <c r="U34" s="1367"/>
      <c r="V34" s="252"/>
      <c r="W34" s="252"/>
      <c r="X34" s="252"/>
      <c r="Y34" s="252"/>
      <c r="Z34" s="252"/>
      <c r="AA34" s="252"/>
      <c r="AB34" s="197" t="s">
        <v>416</v>
      </c>
      <c r="AC34" s="252"/>
      <c r="AD34" s="252"/>
      <c r="AE34" s="252"/>
      <c r="AF34" s="252"/>
      <c r="AG34" s="252"/>
      <c r="AH34" s="252"/>
      <c r="AI34" s="197" t="s">
        <v>416</v>
      </c>
      <c r="AL34" s="296"/>
      <c r="AM34" s="296"/>
      <c r="AN34" s="296"/>
      <c r="AO34" s="296"/>
      <c r="AP34" s="296"/>
    </row>
    <row r="35" spans="1:42" ht="14.25" customHeight="1">
      <c r="Q35" s="305"/>
      <c r="R35" s="305"/>
      <c r="S35" s="1195"/>
      <c r="T35" s="290"/>
      <c r="U35" s="1153"/>
      <c r="V35" s="2264"/>
      <c r="W35" s="2264"/>
      <c r="X35" s="2264"/>
      <c r="Y35" s="2264"/>
      <c r="Z35" s="2264"/>
      <c r="AA35" s="2264"/>
      <c r="AB35" s="2264"/>
      <c r="AC35" s="2264"/>
      <c r="AD35" s="2264"/>
      <c r="AE35" s="2264"/>
      <c r="AF35" s="2264"/>
      <c r="AG35" s="2264"/>
      <c r="AH35" s="2264"/>
      <c r="AI35" s="2264"/>
    </row>
    <row r="36" spans="1:42" ht="14.25" customHeight="1">
      <c r="Q36" s="305"/>
      <c r="R36" s="305"/>
      <c r="S36" s="2143" t="s">
        <v>289</v>
      </c>
      <c r="T36" s="2143"/>
      <c r="U36" s="2143"/>
      <c r="V36" s="2143"/>
      <c r="W36" s="2143"/>
      <c r="X36" s="2143"/>
      <c r="Y36" s="2143"/>
      <c r="Z36" s="2143"/>
      <c r="AA36" s="2143"/>
      <c r="AB36" s="2143"/>
      <c r="AC36" s="2143"/>
      <c r="AD36" s="2143"/>
      <c r="AE36" s="2143"/>
      <c r="AF36" s="2143"/>
      <c r="AG36" s="2143"/>
      <c r="AH36" s="2143"/>
      <c r="AI36" s="2143"/>
      <c r="AJ36" s="2143"/>
      <c r="AK36" s="2143" t="s">
        <v>290</v>
      </c>
    </row>
    <row r="37" spans="1:42" ht="14.25" customHeight="1">
      <c r="Q37" s="305"/>
      <c r="R37" s="305"/>
      <c r="S37" s="2278" t="s">
        <v>87</v>
      </c>
      <c r="T37" s="2229" t="s">
        <v>417</v>
      </c>
      <c r="U37" s="219"/>
      <c r="V37" s="2279" t="s">
        <v>418</v>
      </c>
      <c r="W37" s="2280"/>
      <c r="X37" s="2280"/>
      <c r="Y37" s="2280"/>
      <c r="Z37" s="2280"/>
      <c r="AA37" s="2281"/>
      <c r="AB37" s="2282" t="s">
        <v>419</v>
      </c>
      <c r="AC37" s="2279" t="s">
        <v>418</v>
      </c>
      <c r="AD37" s="2280"/>
      <c r="AE37" s="2280"/>
      <c r="AF37" s="2280"/>
      <c r="AG37" s="2280"/>
      <c r="AH37" s="2281"/>
      <c r="AI37" s="2282" t="s">
        <v>420</v>
      </c>
      <c r="AJ37" s="2285" t="s">
        <v>421</v>
      </c>
      <c r="AK37" s="2143"/>
    </row>
    <row r="38" spans="1:42" ht="33.75" customHeight="1">
      <c r="Q38" s="305"/>
      <c r="R38" s="305"/>
      <c r="S38" s="2278"/>
      <c r="T38" s="2229"/>
      <c r="U38" s="938"/>
      <c r="V38" s="1365" t="s">
        <v>478</v>
      </c>
      <c r="W38" s="2115" t="s">
        <v>424</v>
      </c>
      <c r="X38" s="2114"/>
      <c r="Y38" s="2115" t="s">
        <v>425</v>
      </c>
      <c r="Z38" s="2120"/>
      <c r="AA38" s="2114"/>
      <c r="AB38" s="2283"/>
      <c r="AC38" s="1365" t="s">
        <v>478</v>
      </c>
      <c r="AD38" s="2115" t="s">
        <v>424</v>
      </c>
      <c r="AE38" s="2114"/>
      <c r="AF38" s="2115" t="s">
        <v>425</v>
      </c>
      <c r="AG38" s="2120"/>
      <c r="AH38" s="2114"/>
      <c r="AI38" s="2283"/>
      <c r="AJ38" s="2286"/>
      <c r="AK38" s="2143"/>
    </row>
    <row r="39" spans="1:42" ht="33.75" customHeight="1">
      <c r="A39" s="1286"/>
      <c r="B39" s="1286" t="s">
        <v>134</v>
      </c>
      <c r="C39" s="1286" t="s">
        <v>135</v>
      </c>
      <c r="D39" s="1286" t="s">
        <v>136</v>
      </c>
      <c r="E39" s="1280" t="s">
        <v>426</v>
      </c>
      <c r="F39" s="1280" t="s">
        <v>427</v>
      </c>
      <c r="G39" s="1280" t="s">
        <v>428</v>
      </c>
      <c r="H39" s="1280"/>
      <c r="I39" s="1280" t="s">
        <v>479</v>
      </c>
      <c r="J39" s="1280" t="s">
        <v>431</v>
      </c>
      <c r="K39" s="1280" t="s">
        <v>480</v>
      </c>
      <c r="L39" s="1280" t="s">
        <v>407</v>
      </c>
      <c r="Q39" s="305"/>
      <c r="R39" s="305"/>
      <c r="S39" s="2278"/>
      <c r="T39" s="2229"/>
      <c r="U39" s="220"/>
      <c r="V39" s="1365" t="s">
        <v>481</v>
      </c>
      <c r="W39" s="1128" t="s">
        <v>482</v>
      </c>
      <c r="X39" s="1128" t="s">
        <v>483</v>
      </c>
      <c r="Y39" s="1368" t="s">
        <v>435</v>
      </c>
      <c r="Z39" s="2238" t="s">
        <v>436</v>
      </c>
      <c r="AA39" s="2240"/>
      <c r="AB39" s="2284"/>
      <c r="AC39" s="1365" t="s">
        <v>481</v>
      </c>
      <c r="AD39" s="1128" t="s">
        <v>482</v>
      </c>
      <c r="AE39" s="1128" t="s">
        <v>483</v>
      </c>
      <c r="AF39" s="1368" t="s">
        <v>435</v>
      </c>
      <c r="AG39" s="2238" t="s">
        <v>436</v>
      </c>
      <c r="AH39" s="2240"/>
      <c r="AI39" s="2284"/>
      <c r="AJ39" s="2287"/>
      <c r="AK39" s="2143"/>
    </row>
    <row r="40" spans="1:42" s="1819" customFormat="1" ht="0"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108</v>
      </c>
      <c r="T40" s="1172" t="s">
        <v>109</v>
      </c>
      <c r="U40" s="1154" t="str">
        <f ca="1">OFFSET(U40,0,-1)</f>
        <v>2</v>
      </c>
      <c r="V40" s="1364">
        <f ca="1">OFFSET(V40,0,-1)+1</f>
        <v>3</v>
      </c>
      <c r="W40" s="1364">
        <f ca="1">OFFSET(W40,0,-1)+1</f>
        <v>4</v>
      </c>
      <c r="X40" s="1364">
        <f ca="1">OFFSET(X40,0,-1)+1</f>
        <v>5</v>
      </c>
      <c r="Y40" s="1364">
        <f ca="1">OFFSET(Y40,0,-1)+1</f>
        <v>6</v>
      </c>
      <c r="Z40" s="2277">
        <f ca="1">OFFSET(Z40,0,-1)+1</f>
        <v>7</v>
      </c>
      <c r="AA40" s="2277"/>
      <c r="AB40" s="1364">
        <f ca="1">OFFSET(AB40,0,-2)+1</f>
        <v>8</v>
      </c>
      <c r="AC40" s="1364">
        <f ca="1">OFFSET(AC40,0,-1)+1</f>
        <v>9</v>
      </c>
      <c r="AD40" s="1364">
        <f ca="1">OFFSET(AD40,0,-1)+1</f>
        <v>10</v>
      </c>
      <c r="AE40" s="1364">
        <f ca="1">OFFSET(AE40,0,-1)+1</f>
        <v>11</v>
      </c>
      <c r="AF40" s="1364">
        <f ca="1">OFFSET(AF40,0,-1)+1</f>
        <v>12</v>
      </c>
      <c r="AG40" s="2277">
        <f ca="1">OFFSET(AG40,0,-1)+1</f>
        <v>13</v>
      </c>
      <c r="AH40" s="2277"/>
      <c r="AI40" s="1364">
        <f ca="1">OFFSET(AI40,0,-2)+1</f>
        <v>14</v>
      </c>
      <c r="AJ40" s="1154">
        <f ca="1">OFFSET(AJ40,0,-1)</f>
        <v>14</v>
      </c>
      <c r="AK40" s="1364">
        <f ca="1">OFFSET(AK40,0,-1)+1</f>
        <v>15</v>
      </c>
      <c r="AL40" s="437"/>
      <c r="AM40" s="437"/>
      <c r="AN40" s="437"/>
      <c r="AO40" s="437"/>
      <c r="AP40" s="437"/>
    </row>
    <row r="41" spans="1:42" ht="23.25" customHeight="1">
      <c r="A41" s="1279" t="s">
        <v>225</v>
      </c>
      <c r="B41" s="1279"/>
      <c r="C41" s="1279"/>
      <c r="D41" s="1279"/>
      <c r="E41" s="2270">
        <v>1</v>
      </c>
      <c r="F41" s="1279"/>
      <c r="G41" s="1279"/>
      <c r="H41" s="1279"/>
      <c r="I41" s="1279"/>
      <c r="J41" s="1279"/>
      <c r="K41" s="1279"/>
      <c r="L41" s="1280"/>
      <c r="M41" s="1281"/>
      <c r="N41" s="1281"/>
      <c r="O41" s="1281"/>
      <c r="P41" s="286"/>
      <c r="Q41" s="285"/>
      <c r="R41" s="280"/>
      <c r="S41" s="1370">
        <f>INDEX(PT_DIFFERENTIATION_NUM_NTAR,MATCH(A41,PT_DIFFERENTIATION_NTAR_ID,0))</f>
        <v>0</v>
      </c>
      <c r="T41" s="216" t="s">
        <v>122</v>
      </c>
      <c r="U41" s="218"/>
      <c r="V41" s="2256"/>
      <c r="W41" s="2257"/>
      <c r="X41" s="2257"/>
      <c r="Y41" s="2257"/>
      <c r="Z41" s="2257"/>
      <c r="AA41" s="2257"/>
      <c r="AB41" s="2258"/>
      <c r="AC41" s="2256" t="str">
        <f>INDEX(PT_DIFFERENTIATION_NTAR,MATCH(A41,PT_DIFFERENTIATION_NTAR_ID,0))</f>
        <v/>
      </c>
      <c r="AD41" s="2257"/>
      <c r="AE41" s="2257"/>
      <c r="AF41" s="2257"/>
      <c r="AG41" s="2257"/>
      <c r="AH41" s="2257"/>
      <c r="AI41" s="2257"/>
      <c r="AJ41" s="2258"/>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79" t="s">
        <v>225</v>
      </c>
      <c r="B42" s="1279" t="s">
        <v>226</v>
      </c>
      <c r="C42" s="1279"/>
      <c r="D42" s="1279"/>
      <c r="E42" s="2271"/>
      <c r="F42" s="2270">
        <v>1</v>
      </c>
      <c r="G42" s="1279"/>
      <c r="H42" s="1279"/>
      <c r="I42" s="1279"/>
      <c r="J42" s="1279"/>
      <c r="K42" s="1279"/>
      <c r="L42" s="1280"/>
      <c r="M42" s="1281"/>
      <c r="N42" s="1281"/>
      <c r="O42" s="1281"/>
      <c r="P42" s="1366"/>
      <c r="Q42" s="277"/>
      <c r="R42" s="278"/>
      <c r="S42" s="1370" t="str">
        <f>INDEX(PT_DIFFERENTIATION_NUM_TER,MATCH(B42,PT_DIFFERENTIATION_TER_ID,0))</f>
        <v>.</v>
      </c>
      <c r="T42" s="228" t="s">
        <v>388</v>
      </c>
      <c r="U42" s="218"/>
      <c r="V42" s="2256"/>
      <c r="W42" s="2257"/>
      <c r="X42" s="2257"/>
      <c r="Y42" s="2257"/>
      <c r="Z42" s="2257"/>
      <c r="AA42" s="2257"/>
      <c r="AB42" s="2258"/>
      <c r="AC42" s="2256" t="str">
        <f>INDEX(PT_DIFFERENTIATION_TER,MATCH(B42,PT_DIFFERENTIATION_TER_ID,0))</f>
        <v/>
      </c>
      <c r="AD42" s="2257"/>
      <c r="AE42" s="2257"/>
      <c r="AF42" s="2257"/>
      <c r="AG42" s="2257"/>
      <c r="AH42" s="2257"/>
      <c r="AI42" s="2257"/>
      <c r="AJ42" s="2258"/>
      <c r="AK42" s="1177" t="s">
        <v>389</v>
      </c>
      <c r="AM42" s="426"/>
      <c r="AN42" s="426" t="str">
        <f t="shared" si="1"/>
        <v>Территория действия тарифа</v>
      </c>
      <c r="AO42" s="426"/>
      <c r="AP42" s="426"/>
    </row>
    <row r="43" spans="1:42" ht="23.25" customHeight="1">
      <c r="A43" s="1279" t="s">
        <v>225</v>
      </c>
      <c r="B43" s="1279" t="s">
        <v>226</v>
      </c>
      <c r="C43" s="1279" t="s">
        <v>227</v>
      </c>
      <c r="D43" s="1279"/>
      <c r="E43" s="2271"/>
      <c r="F43" s="2271"/>
      <c r="G43" s="2270">
        <v>1</v>
      </c>
      <c r="H43" s="1279"/>
      <c r="I43" s="1279"/>
      <c r="J43" s="1279"/>
      <c r="K43" s="1279"/>
      <c r="L43" s="1280"/>
      <c r="M43" s="1281"/>
      <c r="N43" s="1281"/>
      <c r="O43" s="1281"/>
      <c r="P43" s="279"/>
      <c r="Q43" s="277"/>
      <c r="R43" s="278"/>
      <c r="S43" s="1370" t="str">
        <f>INDEX(PT_DIFFERENTIATION_NUM_CS,MATCH(C43,PT_DIFFERENTIATION_CS_ID,0))</f>
        <v>..</v>
      </c>
      <c r="T43" s="229" t="s">
        <v>469</v>
      </c>
      <c r="U43" s="218"/>
      <c r="V43" s="2256"/>
      <c r="W43" s="2257"/>
      <c r="X43" s="2257"/>
      <c r="Y43" s="2257"/>
      <c r="Z43" s="2257"/>
      <c r="AA43" s="2257"/>
      <c r="AB43" s="2258"/>
      <c r="AC43" s="2256" t="str">
        <f>INDEX(PT_DIFFERENTIATION_CS,MATCH(C43,PT_DIFFERENTIATION_CS_ID,0))</f>
        <v/>
      </c>
      <c r="AD43" s="2257"/>
      <c r="AE43" s="2257"/>
      <c r="AF43" s="2257"/>
      <c r="AG43" s="2257"/>
      <c r="AH43" s="2257"/>
      <c r="AI43" s="2257"/>
      <c r="AJ43" s="2258"/>
      <c r="AK43" s="1177" t="s">
        <v>470</v>
      </c>
      <c r="AM43" s="426"/>
      <c r="AN43" s="426" t="str">
        <f t="shared" si="1"/>
        <v>Наименование централизованной системы холодного водоснабжения</v>
      </c>
      <c r="AO43" s="426"/>
      <c r="AP43" s="426"/>
    </row>
    <row r="44" spans="1:42" ht="23.25" customHeight="1">
      <c r="A44" s="1279" t="s">
        <v>225</v>
      </c>
      <c r="B44" s="1279" t="s">
        <v>226</v>
      </c>
      <c r="C44" s="1279" t="s">
        <v>227</v>
      </c>
      <c r="D44" s="1279" t="s">
        <v>489</v>
      </c>
      <c r="E44" s="2271"/>
      <c r="F44" s="2271"/>
      <c r="G44" s="2271"/>
      <c r="H44" s="2271"/>
      <c r="I44" s="2268" t="str">
        <f>S43&amp;".1"</f>
        <v>...1</v>
      </c>
      <c r="J44" s="1279"/>
      <c r="K44" s="1279"/>
      <c r="L44" s="1280"/>
      <c r="P44" s="2269">
        <v>1</v>
      </c>
      <c r="Q44" s="1363"/>
      <c r="R44" s="281"/>
      <c r="S44" s="1370" t="str">
        <f>$I44</f>
        <v>...1</v>
      </c>
      <c r="T44" s="203" t="s">
        <v>471</v>
      </c>
      <c r="U44" s="218"/>
      <c r="V44" s="2329"/>
      <c r="W44" s="2330"/>
      <c r="X44" s="2330"/>
      <c r="Y44" s="2330"/>
      <c r="Z44" s="2330"/>
      <c r="AA44" s="2330"/>
      <c r="AB44" s="2331"/>
      <c r="AC44" s="2332"/>
      <c r="AD44" s="2333"/>
      <c r="AE44" s="2333"/>
      <c r="AF44" s="2333"/>
      <c r="AG44" s="2333"/>
      <c r="AH44" s="2333"/>
      <c r="AI44" s="2333"/>
      <c r="AJ44" s="2334"/>
      <c r="AK44" s="1177" t="s">
        <v>472</v>
      </c>
      <c r="AM44" s="426"/>
      <c r="AN44" s="426" t="str">
        <f t="shared" si="1"/>
        <v>Наименование признака дифференциации</v>
      </c>
      <c r="AO44" s="426"/>
      <c r="AP44" s="426"/>
    </row>
    <row r="45" spans="1:42" ht="23.25" customHeight="1">
      <c r="A45" s="1279" t="s">
        <v>225</v>
      </c>
      <c r="B45" s="1279" t="s">
        <v>226</v>
      </c>
      <c r="C45" s="1279" t="s">
        <v>227</v>
      </c>
      <c r="D45" s="1279" t="s">
        <v>489</v>
      </c>
      <c r="E45" s="2271"/>
      <c r="F45" s="2271"/>
      <c r="G45" s="2271"/>
      <c r="H45" s="2271"/>
      <c r="I45" s="2291"/>
      <c r="J45" s="2268" t="str">
        <f>I44&amp;".1"</f>
        <v>...1.1</v>
      </c>
      <c r="K45" s="1279"/>
      <c r="L45" s="1280" t="s">
        <v>397</v>
      </c>
      <c r="P45" s="2269"/>
      <c r="Q45" s="2269">
        <v>1</v>
      </c>
      <c r="R45" s="282"/>
      <c r="S45" s="1370" t="str">
        <f>$J45</f>
        <v>...1.1</v>
      </c>
      <c r="T45" s="204" t="s">
        <v>398</v>
      </c>
      <c r="U45" s="218"/>
      <c r="V45" s="2259"/>
      <c r="W45" s="2260"/>
      <c r="X45" s="2260"/>
      <c r="Y45" s="2260"/>
      <c r="Z45" s="2260"/>
      <c r="AA45" s="2260"/>
      <c r="AB45" s="2261"/>
      <c r="AC45" s="2259"/>
      <c r="AD45" s="2260"/>
      <c r="AE45" s="2260"/>
      <c r="AF45" s="2260"/>
      <c r="AG45" s="2260"/>
      <c r="AH45" s="2260"/>
      <c r="AI45" s="2260"/>
      <c r="AJ45" s="2261"/>
      <c r="AK45" s="1226" t="s">
        <v>473</v>
      </c>
      <c r="AM45" s="426"/>
      <c r="AN45" s="426" t="str">
        <f t="shared" si="1"/>
        <v>Группа потребителей</v>
      </c>
      <c r="AO45" s="426"/>
      <c r="AP45" s="426"/>
    </row>
    <row r="46" spans="1:42" ht="23.25" customHeight="1">
      <c r="A46" s="1279" t="s">
        <v>225</v>
      </c>
      <c r="B46" s="1279" t="s">
        <v>226</v>
      </c>
      <c r="C46" s="1279" t="s">
        <v>227</v>
      </c>
      <c r="D46" s="1279" t="s">
        <v>489</v>
      </c>
      <c r="E46" s="2271"/>
      <c r="F46" s="2271"/>
      <c r="G46" s="2271"/>
      <c r="H46" s="2271"/>
      <c r="I46" s="2291"/>
      <c r="J46" s="2291"/>
      <c r="K46" s="2268" t="str">
        <f>J45&amp;".1"</f>
        <v>...1.1.1</v>
      </c>
      <c r="L46" s="1280"/>
      <c r="P46" s="2269"/>
      <c r="Q46" s="2269"/>
      <c r="R46" s="282">
        <v>1</v>
      </c>
      <c r="S46" s="1370" t="str">
        <f>$K46</f>
        <v>...1.1.1</v>
      </c>
      <c r="T46" s="1352"/>
      <c r="U46" s="218"/>
      <c r="V46" s="668"/>
      <c r="W46" s="668"/>
      <c r="X46" s="1176"/>
      <c r="Y46" s="2273"/>
      <c r="Z46" s="2124" t="s">
        <v>61</v>
      </c>
      <c r="AA46" s="2273"/>
      <c r="AB46" s="2124" t="s">
        <v>61</v>
      </c>
      <c r="AC46" s="668"/>
      <c r="AD46" s="668"/>
      <c r="AE46" s="1176"/>
      <c r="AF46" s="2273"/>
      <c r="AG46" s="2124" t="s">
        <v>61</v>
      </c>
      <c r="AH46" s="2292"/>
      <c r="AI46" s="2124" t="s">
        <v>61</v>
      </c>
      <c r="AJ46" s="1353"/>
      <c r="AK46"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79" t="s">
        <v>225</v>
      </c>
      <c r="B47" s="1279" t="s">
        <v>226</v>
      </c>
      <c r="C47" s="1279" t="s">
        <v>227</v>
      </c>
      <c r="D47" s="1279" t="s">
        <v>489</v>
      </c>
      <c r="E47" s="2271"/>
      <c r="F47" s="2271"/>
      <c r="G47" s="2271"/>
      <c r="H47" s="2271"/>
      <c r="I47" s="2291"/>
      <c r="J47" s="2291"/>
      <c r="K47" s="2268"/>
      <c r="L47" s="1280"/>
      <c r="P47" s="2269"/>
      <c r="Q47" s="2269"/>
      <c r="R47" s="282"/>
      <c r="S47" s="1369"/>
      <c r="T47" s="218"/>
      <c r="U47" s="218"/>
      <c r="V47" s="250"/>
      <c r="W47" s="250"/>
      <c r="X47" s="254" t="str">
        <f>Y46&amp;"-"&amp;AA46</f>
        <v>-</v>
      </c>
      <c r="Y47" s="2274"/>
      <c r="Z47" s="2124"/>
      <c r="AA47" s="2274"/>
      <c r="AB47" s="2124"/>
      <c r="AC47" s="250"/>
      <c r="AD47" s="250"/>
      <c r="AE47" s="254" t="str">
        <f>AF46&amp;"-"&amp;AH46</f>
        <v>-</v>
      </c>
      <c r="AF47" s="2274"/>
      <c r="AG47" s="2124"/>
      <c r="AH47" s="2293"/>
      <c r="AI47" s="2124"/>
      <c r="AJ47" s="1354"/>
      <c r="AK47" s="2328"/>
      <c r="AM47" s="426"/>
      <c r="AN47" s="426" t="str">
        <f t="shared" si="1"/>
        <v/>
      </c>
      <c r="AO47" s="426"/>
      <c r="AP47" s="426"/>
    </row>
    <row r="48" spans="1:42" ht="21" customHeight="1">
      <c r="A48" s="1279" t="s">
        <v>225</v>
      </c>
      <c r="B48" s="1279" t="s">
        <v>226</v>
      </c>
      <c r="C48" s="1279" t="s">
        <v>227</v>
      </c>
      <c r="D48" s="1279" t="s">
        <v>489</v>
      </c>
      <c r="E48" s="2271"/>
      <c r="F48" s="2271"/>
      <c r="G48" s="2271"/>
      <c r="H48" s="2271"/>
      <c r="I48" s="2291"/>
      <c r="J48" s="2268"/>
      <c r="K48" s="1279"/>
      <c r="L48" s="1280"/>
      <c r="P48" s="2269"/>
      <c r="Q48" s="2269"/>
      <c r="R48" s="281"/>
      <c r="S48" s="1198"/>
      <c r="T48" s="205" t="s">
        <v>474</v>
      </c>
      <c r="U48" s="295"/>
      <c r="V48" s="295"/>
      <c r="W48" s="295"/>
      <c r="X48" s="295"/>
      <c r="Y48" s="295"/>
      <c r="Z48" s="295"/>
      <c r="AA48" s="295"/>
      <c r="AB48" s="295"/>
      <c r="AC48" s="295"/>
      <c r="AD48" s="295"/>
      <c r="AE48" s="295"/>
      <c r="AF48" s="295"/>
      <c r="AG48" s="295"/>
      <c r="AH48" s="295"/>
      <c r="AI48" s="295"/>
      <c r="AJ48" s="295"/>
      <c r="AK48" s="1177" t="s">
        <v>475</v>
      </c>
      <c r="AM48" s="426"/>
      <c r="AN48" s="426" t="str">
        <f t="shared" si="1"/>
        <v>Добавить значение признака дифференциации</v>
      </c>
      <c r="AO48" s="426"/>
      <c r="AP48" s="426"/>
    </row>
    <row r="49" spans="1:42" ht="21" customHeight="1">
      <c r="A49" s="1279" t="s">
        <v>225</v>
      </c>
      <c r="B49" s="1279" t="s">
        <v>226</v>
      </c>
      <c r="C49" s="1279" t="s">
        <v>227</v>
      </c>
      <c r="D49" s="1279" t="s">
        <v>489</v>
      </c>
      <c r="E49" s="2271"/>
      <c r="F49" s="2271"/>
      <c r="G49" s="2271"/>
      <c r="H49" s="2271"/>
      <c r="I49" s="2268"/>
      <c r="J49" s="1279"/>
      <c r="K49" s="1279"/>
      <c r="L49" s="1280"/>
      <c r="P49" s="2269"/>
      <c r="Q49" s="1363"/>
      <c r="R49" s="281"/>
      <c r="S49" s="1198"/>
      <c r="T49" s="292" t="s">
        <v>403</v>
      </c>
      <c r="U49" s="295"/>
      <c r="V49" s="295"/>
      <c r="W49" s="295"/>
      <c r="X49" s="295"/>
      <c r="Y49" s="295"/>
      <c r="Z49" s="295"/>
      <c r="AA49" s="295"/>
      <c r="AB49" s="294"/>
      <c r="AC49" s="295"/>
      <c r="AD49" s="295"/>
      <c r="AE49" s="295"/>
      <c r="AF49" s="295"/>
      <c r="AG49" s="295"/>
      <c r="AH49" s="295"/>
      <c r="AI49" s="294"/>
      <c r="AJ49" s="295"/>
      <c r="AK49" s="1355"/>
      <c r="AM49" s="426"/>
      <c r="AN49" s="426" t="str">
        <f t="shared" si="1"/>
        <v>Добавить группу потребителей</v>
      </c>
      <c r="AO49" s="426"/>
      <c r="AP49" s="426"/>
    </row>
    <row r="50" spans="1:42" ht="21" customHeight="1">
      <c r="A50" s="1279" t="s">
        <v>225</v>
      </c>
      <c r="B50" s="1279" t="s">
        <v>226</v>
      </c>
      <c r="C50" s="1279" t="s">
        <v>227</v>
      </c>
      <c r="D50" s="1279" t="s">
        <v>489</v>
      </c>
      <c r="E50" s="2271"/>
      <c r="F50" s="2271"/>
      <c r="G50" s="2271"/>
      <c r="H50" s="2270"/>
      <c r="I50" s="1279"/>
      <c r="J50" s="1279"/>
      <c r="K50" s="1279"/>
      <c r="L50" s="1280"/>
      <c r="M50" s="1281"/>
      <c r="N50" s="1281"/>
      <c r="O50" s="462"/>
      <c r="P50" s="285"/>
      <c r="Q50" s="304"/>
      <c r="R50" s="280"/>
      <c r="S50" s="1198"/>
      <c r="T50" s="300" t="s">
        <v>476</v>
      </c>
      <c r="U50" s="295"/>
      <c r="V50" s="295"/>
      <c r="W50" s="295"/>
      <c r="X50" s="295"/>
      <c r="Y50" s="295"/>
      <c r="Z50" s="295"/>
      <c r="AA50" s="295"/>
      <c r="AB50" s="294"/>
      <c r="AC50" s="295"/>
      <c r="AD50" s="295"/>
      <c r="AE50" s="295"/>
      <c r="AF50" s="295"/>
      <c r="AG50" s="295"/>
      <c r="AH50" s="295"/>
      <c r="AI50" s="294"/>
      <c r="AJ50" s="295"/>
      <c r="AK50" s="221"/>
      <c r="AM50" s="426"/>
      <c r="AN50" s="426" t="str">
        <f t="shared" si="1"/>
        <v>Добавить наименование признака дифференциации</v>
      </c>
      <c r="AO50" s="426"/>
      <c r="AP50" s="426"/>
    </row>
    <row r="51" spans="1:42" s="1930" customFormat="1" ht="0" hidden="1" customHeight="1">
      <c r="A51" s="1260" t="s">
        <v>225</v>
      </c>
      <c r="B51" s="1260" t="s">
        <v>226</v>
      </c>
      <c r="C51" s="1232"/>
      <c r="D51" s="1232"/>
      <c r="E51" s="2271"/>
      <c r="F51" s="2270"/>
      <c r="G51" s="1232"/>
      <c r="H51" s="1232"/>
      <c r="I51" s="1232"/>
      <c r="J51" s="1232"/>
      <c r="K51" s="1232"/>
      <c r="L51" s="1371"/>
      <c r="M51" s="1239"/>
      <c r="N51" s="1239"/>
      <c r="P51" s="1234"/>
      <c r="Q51" s="1235"/>
      <c r="R51" s="1234"/>
      <c r="S51" s="1240"/>
      <c r="T51" s="1243" t="s">
        <v>215</v>
      </c>
      <c r="U51" s="1242"/>
      <c r="V51" s="1242"/>
      <c r="W51" s="1242"/>
      <c r="X51" s="1242"/>
      <c r="Y51" s="1242"/>
      <c r="Z51" s="1242"/>
      <c r="AA51" s="1242"/>
      <c r="AB51" s="1242"/>
      <c r="AC51" s="1242"/>
      <c r="AD51" s="1242"/>
      <c r="AE51" s="1242"/>
      <c r="AF51" s="1242"/>
      <c r="AG51" s="1242"/>
      <c r="AH51" s="1242"/>
      <c r="AI51" s="1242"/>
      <c r="AJ51" s="1242"/>
      <c r="AK51" s="1242"/>
      <c r="AM51" s="706"/>
      <c r="AN51" s="706" t="str">
        <f t="shared" si="1"/>
        <v>Добавить централизованную систему для дифференциации</v>
      </c>
      <c r="AO51" s="706"/>
      <c r="AP51" s="706"/>
    </row>
    <row r="52" spans="1:42" s="1820" customFormat="1" ht="0" hidden="1" customHeight="1">
      <c r="A52" s="1260" t="s">
        <v>225</v>
      </c>
      <c r="B52" s="1260"/>
      <c r="C52" s="1260"/>
      <c r="D52" s="1260"/>
      <c r="E52" s="2270"/>
      <c r="F52" s="1260"/>
      <c r="G52" s="1260"/>
      <c r="H52" s="1260"/>
      <c r="I52" s="1260"/>
      <c r="J52" s="1260"/>
      <c r="K52" s="1260"/>
      <c r="L52" s="1263"/>
      <c r="M52" s="1239"/>
      <c r="N52" s="1239"/>
      <c r="O52" s="444"/>
      <c r="P52" s="313"/>
      <c r="Q52" s="1261"/>
      <c r="R52" s="313"/>
      <c r="S52" s="1240"/>
      <c r="T52" s="1243" t="s">
        <v>216</v>
      </c>
      <c r="U52" s="1242"/>
      <c r="V52" s="1242"/>
      <c r="W52" s="1242"/>
      <c r="X52" s="1242"/>
      <c r="Y52" s="1242"/>
      <c r="Z52" s="1242"/>
      <c r="AA52" s="1242"/>
      <c r="AB52" s="1242"/>
      <c r="AC52" s="1242"/>
      <c r="AD52" s="1242"/>
      <c r="AE52" s="1242"/>
      <c r="AF52" s="1242"/>
      <c r="AG52" s="1242"/>
      <c r="AH52" s="1242"/>
      <c r="AI52" s="1242"/>
      <c r="AJ52" s="1242"/>
      <c r="AK52" s="1242"/>
      <c r="AM52" s="426"/>
      <c r="AN52" s="426" t="str">
        <f t="shared" si="1"/>
        <v>Добавить территорию для дифференциации</v>
      </c>
      <c r="AO52" s="426"/>
      <c r="AP52" s="426"/>
    </row>
    <row r="53" spans="1:42" s="1930" customFormat="1" ht="0" hidden="1" customHeight="1">
      <c r="A53" s="1232"/>
      <c r="B53" s="1232"/>
      <c r="C53" s="1232"/>
      <c r="D53" s="1232"/>
      <c r="E53" s="1260"/>
      <c r="F53" s="1232"/>
      <c r="G53" s="1232"/>
      <c r="H53" s="1232"/>
      <c r="I53" s="1232"/>
      <c r="J53" s="1232"/>
      <c r="K53" s="1232"/>
      <c r="L53" s="1371"/>
      <c r="M53" s="1239"/>
      <c r="N53" s="1239"/>
      <c r="P53" s="1234"/>
      <c r="Q53" s="1235"/>
      <c r="R53" s="1234"/>
      <c r="S53" s="1240"/>
      <c r="T53" s="1243" t="s">
        <v>217</v>
      </c>
      <c r="U53" s="1242"/>
      <c r="V53" s="1242"/>
      <c r="W53" s="1242"/>
      <c r="X53" s="1242"/>
      <c r="Y53" s="1242"/>
      <c r="Z53" s="1242"/>
      <c r="AA53" s="1242"/>
      <c r="AB53" s="1242"/>
      <c r="AC53" s="1242"/>
      <c r="AD53" s="1242"/>
      <c r="AE53" s="1242"/>
      <c r="AF53" s="1242"/>
      <c r="AG53" s="1242"/>
      <c r="AH53" s="1242"/>
      <c r="AI53" s="1242"/>
      <c r="AJ53" s="1242"/>
      <c r="AK53" s="1242"/>
      <c r="AM53" s="706"/>
      <c r="AN53" s="706" t="str">
        <f t="shared" si="1"/>
        <v>Добавить наименование тарифа</v>
      </c>
      <c r="AO53" s="706"/>
      <c r="AP53" s="706"/>
    </row>
    <row r="54" spans="1:42" ht="11.25" customHeight="1">
      <c r="M54" s="1060"/>
      <c r="N54" s="1060"/>
      <c r="O54" s="462"/>
      <c r="P54" s="1055"/>
      <c r="Q54" s="1055"/>
      <c r="R54" s="1055"/>
      <c r="S54" s="1055"/>
      <c r="AL54" s="1055"/>
      <c r="AM54" s="1055"/>
      <c r="AN54" s="1055"/>
      <c r="AO54" s="1055"/>
      <c r="AP54" s="1055"/>
    </row>
    <row r="55" spans="1:42" ht="14.25" customHeight="1">
      <c r="O55" s="462"/>
      <c r="S55" s="1164"/>
      <c r="T55" s="2290"/>
      <c r="U55" s="2290"/>
      <c r="V55" s="2290"/>
      <c r="W55" s="2290"/>
      <c r="X55" s="2290"/>
      <c r="Y55" s="2290"/>
      <c r="Z55" s="2290"/>
      <c r="AA55" s="2290"/>
      <c r="AB55" s="2290"/>
      <c r="AC55" s="2290"/>
      <c r="AD55" s="2290"/>
      <c r="AE55" s="2290"/>
      <c r="AF55" s="2290"/>
      <c r="AG55" s="2290"/>
      <c r="AH55" s="2290"/>
      <c r="AI55" s="2290"/>
      <c r="AJ55" s="2290"/>
      <c r="AK55" s="2290"/>
    </row>
    <row r="56" spans="1:42" ht="14.25" customHeight="1">
      <c r="O56" s="462"/>
    </row>
    <row r="57" spans="1:42" ht="14.25" customHeight="1">
      <c r="O57" s="462"/>
      <c r="S57" s="1164"/>
      <c r="T57" s="2290"/>
      <c r="U57" s="2290"/>
      <c r="V57" s="2290"/>
      <c r="W57" s="2290"/>
      <c r="X57" s="2290"/>
      <c r="Y57" s="2290"/>
      <c r="Z57" s="2290"/>
      <c r="AA57" s="2290"/>
      <c r="AB57" s="2290"/>
      <c r="AC57" s="2290"/>
      <c r="AD57" s="2290"/>
      <c r="AE57" s="2290"/>
      <c r="AF57" s="2290"/>
      <c r="AG57" s="2290"/>
      <c r="AH57" s="2290"/>
      <c r="AI57" s="2290"/>
      <c r="AJ57" s="2290"/>
      <c r="AK57" s="229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21343-F63C-4D44-191F-D497B8F7D9E3}">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4.140625" style="1931" hidden="1" customWidth="1"/>
    <col min="10" max="10" width="9.85546875" style="1931" hidden="1" customWidth="1"/>
    <col min="11" max="11" width="14.7109375" style="1931" hidden="1" customWidth="1"/>
    <col min="12" max="12" width="19.140625" style="2005" hidden="1" customWidth="1"/>
    <col min="13" max="14" width="12.28515625" style="1933" hidden="1" customWidth="1"/>
    <col min="15" max="15" width="23.42578125" style="1933" hidden="1" customWidth="1"/>
    <col min="16" max="16" width="3.7109375" style="2006" customWidth="1"/>
    <col min="17" max="18" width="3.7109375" style="1939" customWidth="1"/>
    <col min="19" max="19" width="12.7109375" style="1940" customWidth="1"/>
    <col min="20" max="20" width="35.7109375" style="1905" customWidth="1"/>
    <col min="21" max="21" width="0.140625" style="1905" customWidth="1"/>
    <col min="22" max="24" width="24.7109375" style="1905" hidden="1" customWidth="1"/>
    <col min="25" max="25" width="11.7109375" style="1905" hidden="1" customWidth="1"/>
    <col min="26" max="26" width="3.7109375" style="1905" hidden="1" customWidth="1"/>
    <col min="27" max="27" width="11.7109375" style="1905" hidden="1" customWidth="1"/>
    <col min="28" max="28" width="8.5703125" style="1905" hidden="1" customWidth="1"/>
    <col min="29" max="31" width="24.7109375" style="1905" customWidth="1"/>
    <col min="32" max="32" width="11.7109375" style="1905" customWidth="1"/>
    <col min="33" max="33" width="3.7109375" style="1905" customWidth="1"/>
    <col min="34" max="34" width="11.7109375" style="1905" customWidth="1"/>
    <col min="35" max="35" width="8.5703125" style="1905" hidden="1" customWidth="1"/>
    <col min="36" max="36" width="4.7109375" style="1905" customWidth="1"/>
    <col min="37" max="37" width="115.7109375" style="1905" customWidth="1"/>
    <col min="38" max="39" width="10.5703125" style="1820"/>
    <col min="40" max="40" width="11.140625" style="1820" customWidth="1"/>
    <col min="41" max="42" width="10.5703125" style="1820"/>
  </cols>
  <sheetData>
    <row r="1" spans="1:42" ht="14.25" hidden="1" customHeight="1">
      <c r="X1" s="253"/>
      <c r="Y1" s="253"/>
      <c r="AE1" s="253"/>
      <c r="AF1" s="253"/>
    </row>
    <row r="2" spans="1:42" ht="23.25" hidden="1" customHeight="1">
      <c r="A2" s="1279"/>
      <c r="B2" s="1279"/>
      <c r="C2" s="1279"/>
      <c r="D2" s="1279"/>
      <c r="E2" s="2270">
        <v>1</v>
      </c>
      <c r="F2" s="1279"/>
      <c r="G2" s="1279"/>
      <c r="H2" s="1279"/>
      <c r="I2" s="1279"/>
      <c r="J2" s="1279"/>
      <c r="K2" s="1279"/>
      <c r="L2" s="1280"/>
      <c r="M2" s="1281"/>
      <c r="N2" s="1281"/>
      <c r="O2" s="1281"/>
      <c r="P2" s="286"/>
      <c r="Q2" s="285"/>
      <c r="R2" s="280"/>
      <c r="S2" s="1370" t="e">
        <f>INDEX(PT_DIFFERENTIATION_NUM_NTAR,MATCH(A2,PT_DIFFERENTIATION_NTAR_ID,0))</f>
        <v>#N/A</v>
      </c>
      <c r="T2" s="216" t="s">
        <v>122</v>
      </c>
      <c r="U2" s="218"/>
      <c r="V2" s="2256"/>
      <c r="W2" s="2257"/>
      <c r="X2" s="2257"/>
      <c r="Y2" s="2257"/>
      <c r="Z2" s="2257"/>
      <c r="AA2" s="2257"/>
      <c r="AB2" s="2258"/>
      <c r="AC2" s="2256" t="e">
        <f>INDEX(PT_DIFFERENTIATION_NTAR,MATCH(A2,PT_DIFFERENTIATION_NTAR_ID,0))</f>
        <v>#N/A</v>
      </c>
      <c r="AD2" s="2257"/>
      <c r="AE2" s="2257"/>
      <c r="AF2" s="2257"/>
      <c r="AG2" s="2257"/>
      <c r="AH2" s="2257"/>
      <c r="AI2" s="2257"/>
      <c r="AJ2" s="2258"/>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79"/>
      <c r="B3" s="1279"/>
      <c r="C3" s="1279"/>
      <c r="D3" s="1279"/>
      <c r="E3" s="2271"/>
      <c r="F3" s="2270">
        <v>1</v>
      </c>
      <c r="G3" s="1279"/>
      <c r="H3" s="1279"/>
      <c r="I3" s="1279"/>
      <c r="J3" s="1279"/>
      <c r="K3" s="1279"/>
      <c r="L3" s="1280"/>
      <c r="M3" s="1281"/>
      <c r="N3" s="1281"/>
      <c r="O3" s="1281"/>
      <c r="P3" s="1366"/>
      <c r="Q3" s="277"/>
      <c r="R3" s="278"/>
      <c r="S3" s="1370" t="e">
        <f>INDEX(PT_DIFFERENTIATION_NUM_TER,MATCH(B3,PT_DIFFERENTIATION_TER_ID,0))</f>
        <v>#N/A</v>
      </c>
      <c r="T3" s="228" t="s">
        <v>388</v>
      </c>
      <c r="U3" s="218"/>
      <c r="V3" s="2256"/>
      <c r="W3" s="2257"/>
      <c r="X3" s="2257"/>
      <c r="Y3" s="2257"/>
      <c r="Z3" s="2257"/>
      <c r="AA3" s="2257"/>
      <c r="AB3" s="2258"/>
      <c r="AC3" s="2256" t="e">
        <f>INDEX(PT_DIFFERENTIATION_TER,MATCH(B3,PT_DIFFERENTIATION_TER_ID,0))</f>
        <v>#N/A</v>
      </c>
      <c r="AD3" s="2257"/>
      <c r="AE3" s="2257"/>
      <c r="AF3" s="2257"/>
      <c r="AG3" s="2257"/>
      <c r="AH3" s="2257"/>
      <c r="AI3" s="2257"/>
      <c r="AJ3" s="2258"/>
      <c r="AK3" s="1177" t="s">
        <v>389</v>
      </c>
      <c r="AM3" s="426"/>
      <c r="AN3" s="426" t="str">
        <f t="shared" si="0"/>
        <v>Территория действия тарифа</v>
      </c>
      <c r="AO3" s="426"/>
      <c r="AP3" s="426"/>
    </row>
    <row r="4" spans="1:42" ht="23.25" hidden="1" customHeight="1">
      <c r="A4" s="1279"/>
      <c r="B4" s="1279"/>
      <c r="C4" s="1279"/>
      <c r="D4" s="1279"/>
      <c r="E4" s="2271"/>
      <c r="F4" s="2271"/>
      <c r="G4" s="2270">
        <v>1</v>
      </c>
      <c r="H4" s="1279"/>
      <c r="I4" s="1279"/>
      <c r="J4" s="1279"/>
      <c r="K4" s="1279"/>
      <c r="L4" s="1280"/>
      <c r="M4" s="1281"/>
      <c r="N4" s="1281"/>
      <c r="O4" s="1281"/>
      <c r="P4" s="279"/>
      <c r="Q4" s="277"/>
      <c r="R4" s="278"/>
      <c r="S4" s="1370" t="e">
        <f>INDEX(PT_DIFFERENTIATION_NUM_CS,MATCH(C4,PT_DIFFERENTIATION_CS_ID,0))</f>
        <v>#N/A</v>
      </c>
      <c r="T4" s="229" t="s">
        <v>469</v>
      </c>
      <c r="U4" s="218"/>
      <c r="V4" s="2256"/>
      <c r="W4" s="2257"/>
      <c r="X4" s="2257"/>
      <c r="Y4" s="2257"/>
      <c r="Z4" s="2257"/>
      <c r="AA4" s="2257"/>
      <c r="AB4" s="2258"/>
      <c r="AC4" s="2256" t="e">
        <f>INDEX(PT_DIFFERENTIATION_CS,MATCH(C4,PT_DIFFERENTIATION_CS_ID,0))</f>
        <v>#N/A</v>
      </c>
      <c r="AD4" s="2257"/>
      <c r="AE4" s="2257"/>
      <c r="AF4" s="2257"/>
      <c r="AG4" s="2257"/>
      <c r="AH4" s="2257"/>
      <c r="AI4" s="2257"/>
      <c r="AJ4" s="2258"/>
      <c r="AK4" s="1177" t="s">
        <v>470</v>
      </c>
      <c r="AM4" s="426"/>
      <c r="AN4" s="426" t="str">
        <f t="shared" si="0"/>
        <v>Наименование централизованной системы холодного водоснабжения</v>
      </c>
      <c r="AO4" s="426"/>
      <c r="AP4" s="426"/>
    </row>
    <row r="5" spans="1:42" ht="23.25" hidden="1" customHeight="1">
      <c r="A5" s="1279"/>
      <c r="B5" s="1279"/>
      <c r="C5" s="1279"/>
      <c r="D5" s="1279"/>
      <c r="E5" s="2271"/>
      <c r="F5" s="2271"/>
      <c r="G5" s="2271"/>
      <c r="H5" s="2271"/>
      <c r="I5" s="2268" t="e">
        <f>S4&amp;".1"</f>
        <v>#N/A</v>
      </c>
      <c r="J5" s="1279"/>
      <c r="K5" s="1279"/>
      <c r="L5" s="1280"/>
      <c r="P5" s="2269">
        <v>1</v>
      </c>
      <c r="Q5" s="1363"/>
      <c r="R5" s="281"/>
      <c r="S5" s="1370" t="e">
        <f>$I5</f>
        <v>#N/A</v>
      </c>
      <c r="T5" s="203" t="s">
        <v>471</v>
      </c>
      <c r="U5" s="218"/>
      <c r="V5" s="2329"/>
      <c r="W5" s="2330"/>
      <c r="X5" s="2330"/>
      <c r="Y5" s="2330"/>
      <c r="Z5" s="2330"/>
      <c r="AA5" s="2330"/>
      <c r="AB5" s="2331"/>
      <c r="AC5" s="2332"/>
      <c r="AD5" s="2333"/>
      <c r="AE5" s="2333"/>
      <c r="AF5" s="2333"/>
      <c r="AG5" s="2333"/>
      <c r="AH5" s="2333"/>
      <c r="AI5" s="2333"/>
      <c r="AJ5" s="2334"/>
      <c r="AK5" s="1177" t="s">
        <v>472</v>
      </c>
      <c r="AM5" s="426"/>
      <c r="AN5" s="426" t="str">
        <f t="shared" si="0"/>
        <v>Наименование признака дифференциации</v>
      </c>
      <c r="AO5" s="426"/>
      <c r="AP5" s="426"/>
    </row>
    <row r="6" spans="1:42" ht="23.25" hidden="1" customHeight="1">
      <c r="A6" s="1279"/>
      <c r="B6" s="1279"/>
      <c r="C6" s="1279"/>
      <c r="D6" s="1279"/>
      <c r="E6" s="2271"/>
      <c r="F6" s="2271"/>
      <c r="G6" s="2271"/>
      <c r="H6" s="2271"/>
      <c r="I6" s="2291"/>
      <c r="J6" s="2268" t="e">
        <f>I5&amp;".1"</f>
        <v>#N/A</v>
      </c>
      <c r="K6" s="1279"/>
      <c r="L6" s="1280" t="s">
        <v>397</v>
      </c>
      <c r="P6" s="2269"/>
      <c r="Q6" s="2269">
        <v>1</v>
      </c>
      <c r="R6" s="282"/>
      <c r="S6" s="1370" t="e">
        <f>$J6</f>
        <v>#N/A</v>
      </c>
      <c r="T6" s="204" t="s">
        <v>398</v>
      </c>
      <c r="U6" s="218"/>
      <c r="V6" s="2259"/>
      <c r="W6" s="2260"/>
      <c r="X6" s="2260"/>
      <c r="Y6" s="2260"/>
      <c r="Z6" s="2260"/>
      <c r="AA6" s="2260"/>
      <c r="AB6" s="2261"/>
      <c r="AC6" s="2259"/>
      <c r="AD6" s="2260"/>
      <c r="AE6" s="2260"/>
      <c r="AF6" s="2260"/>
      <c r="AG6" s="2260"/>
      <c r="AH6" s="2260"/>
      <c r="AI6" s="2260"/>
      <c r="AJ6" s="2261"/>
      <c r="AK6" s="1226" t="s">
        <v>473</v>
      </c>
      <c r="AM6" s="426"/>
      <c r="AN6" s="426" t="str">
        <f t="shared" si="0"/>
        <v>Группа потребителей</v>
      </c>
      <c r="AO6" s="426"/>
      <c r="AP6" s="426"/>
    </row>
    <row r="7" spans="1:42" ht="23.25" hidden="1" customHeight="1">
      <c r="A7" s="1279"/>
      <c r="B7" s="1279"/>
      <c r="C7" s="1279"/>
      <c r="D7" s="1279"/>
      <c r="E7" s="2271"/>
      <c r="F7" s="2271"/>
      <c r="G7" s="2271"/>
      <c r="H7" s="2271"/>
      <c r="I7" s="2291"/>
      <c r="J7" s="2291"/>
      <c r="K7" s="2268" t="e">
        <f>J6&amp;".1"</f>
        <v>#N/A</v>
      </c>
      <c r="L7" s="1280"/>
      <c r="P7" s="2269"/>
      <c r="Q7" s="2269"/>
      <c r="R7" s="282">
        <v>1</v>
      </c>
      <c r="S7" s="1370" t="e">
        <f>$K7</f>
        <v>#N/A</v>
      </c>
      <c r="T7" s="1352"/>
      <c r="U7" s="218"/>
      <c r="V7" s="668"/>
      <c r="W7" s="668"/>
      <c r="X7" s="1176"/>
      <c r="Y7" s="2273"/>
      <c r="Z7" s="2124" t="s">
        <v>61</v>
      </c>
      <c r="AA7" s="2273"/>
      <c r="AB7" s="2124" t="s">
        <v>61</v>
      </c>
      <c r="AC7" s="668"/>
      <c r="AD7" s="668"/>
      <c r="AE7" s="1176"/>
      <c r="AF7" s="2273"/>
      <c r="AG7" s="2124" t="s">
        <v>61</v>
      </c>
      <c r="AH7" s="2292"/>
      <c r="AI7" s="2124" t="s">
        <v>61</v>
      </c>
      <c r="AJ7" s="1353"/>
      <c r="AK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79"/>
      <c r="B8" s="1279"/>
      <c r="C8" s="1279"/>
      <c r="D8" s="1279"/>
      <c r="E8" s="2271"/>
      <c r="F8" s="2271"/>
      <c r="G8" s="2271"/>
      <c r="H8" s="2271"/>
      <c r="I8" s="2291"/>
      <c r="J8" s="2291"/>
      <c r="K8" s="2268"/>
      <c r="L8" s="1280"/>
      <c r="P8" s="2269"/>
      <c r="Q8" s="2269"/>
      <c r="R8" s="282"/>
      <c r="S8" s="1369"/>
      <c r="T8" s="218"/>
      <c r="U8" s="218"/>
      <c r="V8" s="250"/>
      <c r="W8" s="250"/>
      <c r="X8" s="254" t="str">
        <f>Y7&amp;"-"&amp;AA7</f>
        <v>-</v>
      </c>
      <c r="Y8" s="2274"/>
      <c r="Z8" s="2124"/>
      <c r="AA8" s="2274"/>
      <c r="AB8" s="2124"/>
      <c r="AC8" s="250"/>
      <c r="AD8" s="250"/>
      <c r="AE8" s="254" t="str">
        <f>AF7&amp;"-"&amp;AH7</f>
        <v>-</v>
      </c>
      <c r="AF8" s="2274"/>
      <c r="AG8" s="2124"/>
      <c r="AH8" s="2293"/>
      <c r="AI8" s="2124"/>
      <c r="AJ8" s="1354"/>
      <c r="AK8" s="2328"/>
      <c r="AM8" s="426"/>
      <c r="AN8" s="426" t="str">
        <f t="shared" si="0"/>
        <v/>
      </c>
      <c r="AO8" s="426"/>
      <c r="AP8" s="426"/>
    </row>
    <row r="9" spans="1:42" ht="21" hidden="1" customHeight="1">
      <c r="A9" s="1279"/>
      <c r="B9" s="1279"/>
      <c r="C9" s="1279"/>
      <c r="D9" s="1279"/>
      <c r="E9" s="2271"/>
      <c r="F9" s="2271"/>
      <c r="G9" s="2271"/>
      <c r="H9" s="2271"/>
      <c r="I9" s="2291"/>
      <c r="J9" s="2268"/>
      <c r="K9" s="1279"/>
      <c r="L9" s="1280"/>
      <c r="P9" s="2269"/>
      <c r="Q9" s="2269"/>
      <c r="R9" s="281"/>
      <c r="S9" s="1198"/>
      <c r="T9" s="205" t="s">
        <v>474</v>
      </c>
      <c r="U9" s="295"/>
      <c r="V9" s="295"/>
      <c r="W9" s="295"/>
      <c r="X9" s="295"/>
      <c r="Y9" s="295"/>
      <c r="Z9" s="295"/>
      <c r="AA9" s="295"/>
      <c r="AB9" s="295"/>
      <c r="AC9" s="295"/>
      <c r="AD9" s="295"/>
      <c r="AE9" s="295"/>
      <c r="AF9" s="295"/>
      <c r="AG9" s="295"/>
      <c r="AH9" s="295"/>
      <c r="AI9" s="295"/>
      <c r="AJ9" s="295"/>
      <c r="AK9" s="1177" t="s">
        <v>475</v>
      </c>
      <c r="AM9" s="426"/>
      <c r="AN9" s="426" t="str">
        <f t="shared" si="0"/>
        <v>Добавить значение признака дифференциации</v>
      </c>
      <c r="AO9" s="426"/>
      <c r="AP9" s="426"/>
    </row>
    <row r="10" spans="1:42" ht="21" hidden="1" customHeight="1">
      <c r="A10" s="1279"/>
      <c r="B10" s="1279"/>
      <c r="C10" s="1279"/>
      <c r="D10" s="1279"/>
      <c r="E10" s="2271"/>
      <c r="F10" s="2271"/>
      <c r="G10" s="2271"/>
      <c r="H10" s="2271"/>
      <c r="I10" s="2268"/>
      <c r="J10" s="1279"/>
      <c r="K10" s="1279"/>
      <c r="L10" s="1280"/>
      <c r="P10" s="2269"/>
      <c r="Q10" s="1363"/>
      <c r="R10" s="281"/>
      <c r="S10" s="1198"/>
      <c r="T10" s="292" t="s">
        <v>403</v>
      </c>
      <c r="U10" s="295"/>
      <c r="V10" s="295"/>
      <c r="W10" s="295"/>
      <c r="X10" s="295"/>
      <c r="Y10" s="295"/>
      <c r="Z10" s="295"/>
      <c r="AA10" s="295"/>
      <c r="AB10" s="294"/>
      <c r="AC10" s="295"/>
      <c r="AD10" s="295"/>
      <c r="AE10" s="295"/>
      <c r="AF10" s="295"/>
      <c r="AG10" s="295"/>
      <c r="AH10" s="295"/>
      <c r="AI10" s="294"/>
      <c r="AJ10" s="295"/>
      <c r="AK10" s="1355"/>
      <c r="AM10" s="426"/>
      <c r="AN10" s="426" t="str">
        <f t="shared" si="0"/>
        <v>Добавить группу потребителей</v>
      </c>
      <c r="AO10" s="426"/>
      <c r="AP10" s="426"/>
    </row>
    <row r="11" spans="1:42" ht="21" hidden="1" customHeight="1">
      <c r="A11" s="1279"/>
      <c r="B11" s="1279"/>
      <c r="C11" s="1279"/>
      <c r="D11" s="1279"/>
      <c r="E11" s="2271"/>
      <c r="F11" s="2271"/>
      <c r="G11" s="2271"/>
      <c r="H11" s="2270"/>
      <c r="I11" s="1279"/>
      <c r="J11" s="1279"/>
      <c r="K11" s="1279"/>
      <c r="L11" s="1280"/>
      <c r="M11" s="1281"/>
      <c r="N11" s="1281"/>
      <c r="O11" s="462"/>
      <c r="P11" s="285"/>
      <c r="Q11" s="304"/>
      <c r="R11" s="280"/>
      <c r="S11" s="1198"/>
      <c r="T11" s="300" t="s">
        <v>476</v>
      </c>
      <c r="U11" s="295"/>
      <c r="V11" s="295"/>
      <c r="W11" s="295"/>
      <c r="X11" s="295"/>
      <c r="Y11" s="295"/>
      <c r="Z11" s="295"/>
      <c r="AA11" s="295"/>
      <c r="AB11" s="294"/>
      <c r="AC11" s="295"/>
      <c r="AD11" s="295"/>
      <c r="AE11" s="295"/>
      <c r="AF11" s="295"/>
      <c r="AG11" s="295"/>
      <c r="AH11" s="295"/>
      <c r="AI11" s="294"/>
      <c r="AJ11" s="295"/>
      <c r="AK11" s="221"/>
      <c r="AM11" s="426"/>
      <c r="AN11" s="426" t="str">
        <f t="shared" si="0"/>
        <v>Добавить наименование признака дифференциации</v>
      </c>
      <c r="AO11" s="426"/>
      <c r="AP11" s="426"/>
    </row>
    <row r="12" spans="1:42" s="1930" customFormat="1" ht="14.25" hidden="1" customHeight="1">
      <c r="A12" s="1260"/>
      <c r="B12" s="1260"/>
      <c r="C12" s="1232"/>
      <c r="D12" s="1232"/>
      <c r="E12" s="2271"/>
      <c r="F12" s="2270"/>
      <c r="G12" s="1232"/>
      <c r="H12" s="1232"/>
      <c r="I12" s="1232"/>
      <c r="J12" s="1232"/>
      <c r="K12" s="1232"/>
      <c r="L12" s="1371"/>
      <c r="M12" s="1239"/>
      <c r="N12" s="1239"/>
      <c r="P12" s="1234"/>
      <c r="Q12" s="1235"/>
      <c r="R12" s="1234"/>
      <c r="S12" s="1240"/>
      <c r="T12" s="1243" t="s">
        <v>215</v>
      </c>
      <c r="U12" s="1242"/>
      <c r="V12" s="1242"/>
      <c r="W12" s="1242"/>
      <c r="X12" s="1242"/>
      <c r="Y12" s="1242"/>
      <c r="Z12" s="1242"/>
      <c r="AA12" s="1242"/>
      <c r="AB12" s="1242"/>
      <c r="AC12" s="1242"/>
      <c r="AD12" s="1242"/>
      <c r="AE12" s="1242"/>
      <c r="AF12" s="1242"/>
      <c r="AG12" s="1242"/>
      <c r="AH12" s="1242"/>
      <c r="AI12" s="1242"/>
      <c r="AJ12" s="1242"/>
      <c r="AK12" s="1242"/>
      <c r="AM12" s="706"/>
      <c r="AN12" s="706" t="str">
        <f t="shared" si="0"/>
        <v>Добавить централизованную систему для дифференциации</v>
      </c>
      <c r="AO12" s="706"/>
      <c r="AP12" s="706"/>
    </row>
    <row r="13" spans="1:42" s="1820" customFormat="1" ht="14.25" hidden="1" customHeight="1">
      <c r="A13" s="1260"/>
      <c r="B13" s="1260"/>
      <c r="C13" s="1260"/>
      <c r="D13" s="1260"/>
      <c r="E13" s="2270"/>
      <c r="F13" s="1260"/>
      <c r="G13" s="1260"/>
      <c r="H13" s="1260"/>
      <c r="I13" s="1260"/>
      <c r="J13" s="1260"/>
      <c r="K13" s="1260"/>
      <c r="L13" s="1263"/>
      <c r="M13" s="1239"/>
      <c r="N13" s="1239"/>
      <c r="O13" s="444"/>
      <c r="P13" s="313"/>
      <c r="Q13" s="1261"/>
      <c r="R13" s="313"/>
      <c r="S13" s="1240"/>
      <c r="T13" s="1243" t="s">
        <v>216</v>
      </c>
      <c r="U13" s="1242"/>
      <c r="V13" s="1242"/>
      <c r="W13" s="1242"/>
      <c r="X13" s="1242"/>
      <c r="Y13" s="1242"/>
      <c r="Z13" s="1242"/>
      <c r="AA13" s="1242"/>
      <c r="AB13" s="1242"/>
      <c r="AC13" s="1242"/>
      <c r="AD13" s="1242"/>
      <c r="AE13" s="1242"/>
      <c r="AF13" s="1242"/>
      <c r="AG13" s="1242"/>
      <c r="AH13" s="1242"/>
      <c r="AI13" s="1242"/>
      <c r="AJ13" s="1242"/>
      <c r="AK13" s="1242"/>
      <c r="AM13" s="426"/>
      <c r="AN13" s="426" t="str">
        <f t="shared" si="0"/>
        <v>Добавить территорию для дифференциации</v>
      </c>
      <c r="AO13" s="426"/>
      <c r="AP13" s="426"/>
    </row>
    <row r="14" spans="1:42" ht="14.25" hidden="1" customHeight="1">
      <c r="AB14" s="253"/>
      <c r="AI14" s="253"/>
    </row>
    <row r="15" spans="1:42" ht="14.25" hidden="1" customHeight="1">
      <c r="AC15" s="1276"/>
      <c r="AD15" s="1276"/>
      <c r="AE15" s="1277"/>
      <c r="AF15" s="2275"/>
      <c r="AG15" s="2276" t="s">
        <v>61</v>
      </c>
      <c r="AH15" s="2275"/>
      <c r="AI15" s="2276" t="s">
        <v>61</v>
      </c>
    </row>
    <row r="16" spans="1:42" ht="14.25" hidden="1" customHeight="1">
      <c r="AC16" s="1276"/>
      <c r="AD16" s="1276"/>
      <c r="AE16" s="254" t="str">
        <f>AF15&amp;"-"&amp;AH15</f>
        <v>-</v>
      </c>
      <c r="AF16" s="2276"/>
      <c r="AG16" s="2276"/>
      <c r="AH16" s="2276"/>
      <c r="AI16" s="2276"/>
    </row>
    <row r="17" spans="1:42" ht="14.25" hidden="1" customHeight="1">
      <c r="AI17" s="253"/>
    </row>
    <row r="18" spans="1:42" s="1931" customFormat="1" ht="22.5" hidden="1" customHeight="1">
      <c r="L18" s="1360"/>
      <c r="M18" s="1278"/>
      <c r="N18" s="1278"/>
      <c r="O18" s="1283" t="s">
        <v>406</v>
      </c>
      <c r="P18" s="1278"/>
      <c r="Q18" s="1287"/>
      <c r="R18" s="1287"/>
      <c r="S18" s="648"/>
      <c r="Y18" s="1283"/>
      <c r="AA18" s="1283"/>
      <c r="AB18" s="1282"/>
      <c r="AF18" s="1283"/>
      <c r="AH18" s="1283"/>
      <c r="AI18" s="1282"/>
      <c r="AL18" s="437"/>
      <c r="AM18" s="437"/>
      <c r="AN18" s="437"/>
      <c r="AO18" s="437"/>
      <c r="AP18" s="437"/>
    </row>
    <row r="19" spans="1:42" s="1931" customFormat="1" ht="14.25" hidden="1" customHeight="1">
      <c r="L19" s="1360"/>
      <c r="M19" s="1278"/>
      <c r="N19" s="1278"/>
      <c r="O19" s="1278"/>
      <c r="P19" s="1278"/>
      <c r="Q19" s="1287"/>
      <c r="R19" s="1287"/>
      <c r="S19" s="648"/>
      <c r="AB19" s="1282"/>
      <c r="AI19" s="1282"/>
      <c r="AL19" s="437"/>
      <c r="AM19" s="437"/>
      <c r="AN19" s="437"/>
      <c r="AO19" s="437"/>
      <c r="AP19" s="437"/>
    </row>
    <row r="20" spans="1:42" s="1931" customFormat="1" ht="12" hidden="1" customHeight="1">
      <c r="L20" s="1360"/>
      <c r="M20" s="1278"/>
      <c r="N20" s="1278"/>
      <c r="O20" s="1280" t="s">
        <v>407</v>
      </c>
      <c r="P20" s="1278"/>
      <c r="Q20" s="1356"/>
      <c r="R20" s="1356"/>
      <c r="S20" s="648"/>
      <c r="T20" s="1060" t="s">
        <v>408</v>
      </c>
      <c r="Z20" s="107" t="s">
        <v>409</v>
      </c>
      <c r="AB20" s="107" t="s">
        <v>410</v>
      </c>
      <c r="AC20" s="1060" t="s">
        <v>408</v>
      </c>
      <c r="AG20" s="107" t="s">
        <v>411</v>
      </c>
      <c r="AI20" s="107" t="s">
        <v>410</v>
      </c>
    </row>
    <row r="21" spans="1:42" ht="14.25" hidden="1" customHeight="1">
      <c r="O21" s="1280"/>
    </row>
    <row r="22" spans="1:42" ht="14.25" hidden="1" customHeight="1">
      <c r="O22" s="1280"/>
    </row>
    <row r="23" spans="1:42" ht="14.25" customHeight="1">
      <c r="Q23" s="305"/>
      <c r="R23" s="305"/>
      <c r="S23" s="1195"/>
      <c r="T23" s="290"/>
      <c r="U23" s="290"/>
      <c r="V23" s="435"/>
      <c r="W23" s="435"/>
      <c r="X23" s="435"/>
      <c r="Y23" s="435"/>
      <c r="Z23" s="435"/>
      <c r="AA23" s="435"/>
      <c r="AB23" s="435"/>
      <c r="AC23" s="435"/>
      <c r="AD23" s="435"/>
      <c r="AE23" s="435"/>
      <c r="AF23" s="435"/>
      <c r="AG23" s="435"/>
      <c r="AH23" s="435"/>
      <c r="AI23" s="435"/>
    </row>
    <row r="24" spans="1:42" ht="14.25" customHeight="1">
      <c r="Q24" s="305"/>
      <c r="R24" s="305"/>
      <c r="S24" s="225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54"/>
      <c r="U24" s="2254"/>
      <c r="V24" s="2254"/>
      <c r="W24" s="2254"/>
      <c r="X24" s="2254"/>
      <c r="Y24" s="2254"/>
      <c r="Z24" s="2254"/>
      <c r="AA24" s="2254"/>
      <c r="AB24" s="2254"/>
      <c r="AC24" s="2254"/>
      <c r="AD24" s="2254"/>
      <c r="AE24" s="2254"/>
      <c r="AF24" s="2254"/>
      <c r="AG24" s="2254"/>
      <c r="AH24" s="2254"/>
      <c r="AI24" s="1152"/>
    </row>
    <row r="25" spans="1:42" ht="14.25" customHeight="1">
      <c r="Q25" s="305"/>
      <c r="R25" s="305"/>
      <c r="S25" s="2200" t="str">
        <f>IF(org=0,"Не определено",org)</f>
        <v>ПАО "Юнипро"</v>
      </c>
      <c r="T25" s="2200"/>
      <c r="U25" s="2200"/>
      <c r="V25" s="2200"/>
      <c r="W25" s="2200"/>
      <c r="X25" s="2200"/>
      <c r="Y25" s="2200"/>
      <c r="Z25" s="2200"/>
      <c r="AA25" s="2200"/>
      <c r="AB25" s="2200"/>
      <c r="AC25" s="2200"/>
      <c r="AD25" s="2200"/>
      <c r="AE25" s="2200"/>
      <c r="AF25" s="2200"/>
      <c r="AG25" s="2200"/>
      <c r="AH25" s="2200"/>
      <c r="AI25" s="1152"/>
    </row>
    <row r="26" spans="1:42" ht="14.25" customHeight="1">
      <c r="Q26" s="305"/>
      <c r="R26" s="305"/>
      <c r="S26" s="1195"/>
      <c r="T26" s="290"/>
      <c r="U26" s="290"/>
      <c r="V26" s="246"/>
      <c r="W26" s="246"/>
      <c r="X26" s="246"/>
      <c r="Y26" s="246"/>
      <c r="Z26" s="246"/>
      <c r="AA26" s="246"/>
      <c r="AB26" s="246"/>
      <c r="AC26" s="246"/>
      <c r="AD26" s="246"/>
      <c r="AE26" s="246"/>
      <c r="AF26" s="246"/>
      <c r="AG26" s="246"/>
      <c r="AH26" s="246"/>
      <c r="AI26" s="246"/>
      <c r="AJ26" s="435"/>
    </row>
    <row r="27" spans="1:42" s="1936" customFormat="1" ht="25.5" customHeight="1">
      <c r="A27" s="1284"/>
      <c r="B27" s="1284"/>
      <c r="C27" s="1284"/>
      <c r="D27" s="1284"/>
      <c r="E27" s="1284"/>
      <c r="F27" s="1284"/>
      <c r="G27" s="1284"/>
      <c r="H27" s="1284"/>
      <c r="I27" s="1284"/>
      <c r="J27" s="1284"/>
      <c r="K27" s="1284"/>
      <c r="L27" s="1285"/>
      <c r="M27" s="1284"/>
      <c r="N27" s="1284"/>
      <c r="O27" s="1284"/>
      <c r="S27" s="2262" t="s">
        <v>38</v>
      </c>
      <c r="T27" s="2262"/>
      <c r="U27" s="1288"/>
      <c r="V27" s="2263" t="str">
        <f>IF(TITLE_NAME_OR_PR_CHANGE="",IF(TITLE_NAME_OR_PR="","",TITLE_NAME_OR_PR),TITLE_NAME_OR_PR_CHANGE)</f>
        <v>Министерство тарифной политики Красноярского края</v>
      </c>
      <c r="W27" s="2263"/>
      <c r="X27" s="2263"/>
      <c r="Y27" s="2263"/>
      <c r="Z27" s="2263"/>
      <c r="AA27" s="2263"/>
      <c r="AB27" s="252"/>
      <c r="AC27" s="2263" t="str">
        <f>IF(TITLE_NAME_OR_PR_CHANGE="",IF(TITLE_NAME_OR_PR="","",TITLE_NAME_OR_PR),TITLE_NAME_OR_PR_CHANGE)</f>
        <v>Министерство тарифной политики Красноярского края</v>
      </c>
      <c r="AD27" s="2263"/>
      <c r="AE27" s="2263"/>
      <c r="AF27" s="2263"/>
      <c r="AG27" s="2263"/>
      <c r="AH27" s="2263"/>
      <c r="AI27" s="252"/>
      <c r="AJ27" s="252"/>
      <c r="AK27" s="199"/>
      <c r="AL27" s="296"/>
      <c r="AM27" s="296"/>
      <c r="AN27" s="296"/>
      <c r="AO27" s="296"/>
      <c r="AP27" s="296"/>
    </row>
    <row r="28" spans="1:42" s="1936" customFormat="1" ht="18.75" customHeight="1">
      <c r="A28" s="1284"/>
      <c r="B28" s="1284"/>
      <c r="C28" s="1284"/>
      <c r="D28" s="1284"/>
      <c r="E28" s="1284"/>
      <c r="F28" s="1284"/>
      <c r="G28" s="1284"/>
      <c r="H28" s="1284"/>
      <c r="I28" s="1284"/>
      <c r="J28" s="1284"/>
      <c r="K28" s="1284"/>
      <c r="L28" s="1285"/>
      <c r="M28" s="1284"/>
      <c r="N28" s="1284"/>
      <c r="O28" s="1284"/>
      <c r="S28" s="2262" t="s">
        <v>412</v>
      </c>
      <c r="T28" s="2262"/>
      <c r="U28" s="1288"/>
      <c r="V28" s="2272">
        <f>IF(TITLE_DATE_PR_CHANGE="",IF(TITLE_DATE_PR="","",TITLE_DATE_PR),TITLE_DATE_PR_CHANGE)</f>
        <v>45278.357847222222</v>
      </c>
      <c r="W28" s="2272"/>
      <c r="X28" s="2272"/>
      <c r="Y28" s="2272"/>
      <c r="Z28" s="2272"/>
      <c r="AA28" s="2272"/>
      <c r="AB28" s="252"/>
      <c r="AC28" s="2272">
        <f>IF(TITLE_DATE_PR_CHANGE="",IF(TITLE_DATE_PR="","",TITLE_DATE_PR),TITLE_DATE_PR_CHANGE)</f>
        <v>45278.357847222222</v>
      </c>
      <c r="AD28" s="2272"/>
      <c r="AE28" s="2272"/>
      <c r="AF28" s="2272"/>
      <c r="AG28" s="2272"/>
      <c r="AH28" s="2272"/>
      <c r="AI28" s="252"/>
      <c r="AJ28" s="252"/>
      <c r="AK28" s="199"/>
      <c r="AL28" s="296"/>
      <c r="AM28" s="296"/>
      <c r="AN28" s="296"/>
      <c r="AO28" s="296"/>
      <c r="AP28" s="296"/>
    </row>
    <row r="29" spans="1:42" s="1936" customFormat="1" ht="18.75" customHeight="1">
      <c r="A29" s="1284"/>
      <c r="B29" s="1284"/>
      <c r="C29" s="1284"/>
      <c r="D29" s="1284"/>
      <c r="E29" s="1284"/>
      <c r="F29" s="1284"/>
      <c r="G29" s="1284"/>
      <c r="H29" s="1284"/>
      <c r="I29" s="1284"/>
      <c r="J29" s="1284"/>
      <c r="K29" s="1284"/>
      <c r="L29" s="1285"/>
      <c r="M29" s="1284"/>
      <c r="N29" s="1284"/>
      <c r="O29" s="1284"/>
      <c r="S29" s="2262" t="s">
        <v>413</v>
      </c>
      <c r="T29" s="2262"/>
      <c r="U29" s="1288"/>
      <c r="V29" s="2263" t="str">
        <f>IF(TITLE_NUMBER_PR_CHANGE="",IF(TITLE_NUMBER_PR="","",TITLE_NUMBER_PR),TITLE_NUMBER_PR_CHANGE)</f>
        <v>924-в</v>
      </c>
      <c r="W29" s="2263"/>
      <c r="X29" s="2263"/>
      <c r="Y29" s="2263"/>
      <c r="Z29" s="2263"/>
      <c r="AA29" s="2263"/>
      <c r="AB29" s="252"/>
      <c r="AC29" s="2263" t="str">
        <f>IF(TITLE_NUMBER_PR_CHANGE="",IF(TITLE_NUMBER_PR="","",TITLE_NUMBER_PR),TITLE_NUMBER_PR_CHANGE)</f>
        <v>924-в</v>
      </c>
      <c r="AD29" s="2263"/>
      <c r="AE29" s="2263"/>
      <c r="AF29" s="2263"/>
      <c r="AG29" s="2263"/>
      <c r="AH29" s="2263"/>
      <c r="AI29" s="252"/>
      <c r="AJ29" s="252"/>
      <c r="AK29" s="199"/>
      <c r="AL29" s="296"/>
      <c r="AM29" s="296"/>
      <c r="AN29" s="296"/>
      <c r="AO29" s="296"/>
      <c r="AP29" s="296"/>
    </row>
    <row r="30" spans="1:42" s="1936" customFormat="1" ht="18.75" customHeight="1">
      <c r="A30" s="1284"/>
      <c r="B30" s="1284"/>
      <c r="C30" s="1284"/>
      <c r="D30" s="1284"/>
      <c r="E30" s="1284"/>
      <c r="F30" s="1284"/>
      <c r="G30" s="1284"/>
      <c r="H30" s="1284"/>
      <c r="I30" s="1284"/>
      <c r="J30" s="1284"/>
      <c r="K30" s="1284"/>
      <c r="L30" s="1285"/>
      <c r="M30" s="1284"/>
      <c r="N30" s="1284"/>
      <c r="O30" s="1284"/>
      <c r="S30" s="2262" t="s">
        <v>40</v>
      </c>
      <c r="T30" s="2262"/>
      <c r="U30" s="1288"/>
      <c r="V30" s="2263" t="str">
        <f>IF(TITLE_IST_PUB_CHANGE="",IF(TITLE_IST_PUB="","",TITLE_IST_PUB),TITLE_IST_PUB_CHANGE)</f>
        <v>Официальный интернет-портал правовой информации Красноярского края (http://www.zakon.krskstate.ru/)</v>
      </c>
      <c r="W30" s="2263"/>
      <c r="X30" s="2263"/>
      <c r="Y30" s="2263"/>
      <c r="Z30" s="2263"/>
      <c r="AA30" s="2263"/>
      <c r="AB30" s="252"/>
      <c r="AC30" s="2263" t="str">
        <f>IF(TITLE_IST_PUB_CHANGE="",IF(TITLE_IST_PUB="","",TITLE_IST_PUB),TITLE_IST_PUB_CHANGE)</f>
        <v>Официальный интернет-портал правовой информации Красноярского края (http://www.zakon.krskstate.ru/)</v>
      </c>
      <c r="AD30" s="2263"/>
      <c r="AE30" s="2263"/>
      <c r="AF30" s="2263"/>
      <c r="AG30" s="2263"/>
      <c r="AH30" s="2263"/>
      <c r="AI30" s="252"/>
      <c r="AJ30" s="252"/>
      <c r="AK30" s="199"/>
      <c r="AL30" s="296"/>
      <c r="AM30" s="296"/>
      <c r="AN30" s="296"/>
      <c r="AO30" s="296"/>
      <c r="AP30" s="296"/>
    </row>
    <row r="31" spans="1:42" ht="14.25" hidden="1" customHeight="1">
      <c r="Q31" s="305"/>
      <c r="R31" s="305"/>
      <c r="S31" s="1195"/>
      <c r="T31" s="290"/>
      <c r="U31" s="290"/>
      <c r="V31" s="246"/>
      <c r="W31" s="246"/>
      <c r="X31" s="246"/>
      <c r="Y31" s="246"/>
      <c r="Z31" s="246"/>
      <c r="AA31" s="246"/>
      <c r="AB31" s="246"/>
      <c r="AC31" s="246"/>
      <c r="AD31" s="246"/>
      <c r="AE31" s="246"/>
      <c r="AF31" s="246"/>
      <c r="AG31" s="246"/>
      <c r="AH31" s="246"/>
      <c r="AI31" s="246"/>
      <c r="AJ31" s="435"/>
    </row>
    <row r="32" spans="1:42" s="1936" customFormat="1" ht="18.75" hidden="1" customHeight="1">
      <c r="A32" s="1284"/>
      <c r="B32" s="1284"/>
      <c r="C32" s="1284"/>
      <c r="D32" s="1284"/>
      <c r="E32" s="1284"/>
      <c r="F32" s="1284"/>
      <c r="G32" s="1284"/>
      <c r="H32" s="1284"/>
      <c r="I32" s="1284"/>
      <c r="J32" s="1284"/>
      <c r="K32" s="1284"/>
      <c r="L32" s="1285"/>
      <c r="M32" s="1284"/>
      <c r="N32" s="1284"/>
      <c r="O32" s="1284"/>
      <c r="S32" s="2262" t="s">
        <v>414</v>
      </c>
      <c r="T32" s="2262"/>
      <c r="U32" s="1288"/>
      <c r="V32" s="2272">
        <f>IF(TITLE_DATE_PR_CHANGE="",IF(TITLE_DATE_PR="","",TITLE_DATE_PR),TITLE_DATE_PR_CHANGE)</f>
        <v>45278.357847222222</v>
      </c>
      <c r="W32" s="2272"/>
      <c r="X32" s="2272"/>
      <c r="Y32" s="2272"/>
      <c r="Z32" s="2272"/>
      <c r="AA32" s="2272"/>
      <c r="AB32" s="252"/>
      <c r="AC32" s="2272">
        <f>IF(TITLE_DATE_PR_CHANGE="",IF(TITLE_DATE_PR="","",TITLE_DATE_PR),TITLE_DATE_PR_CHANGE)</f>
        <v>45278.357847222222</v>
      </c>
      <c r="AD32" s="2272"/>
      <c r="AE32" s="2272"/>
      <c r="AF32" s="2272"/>
      <c r="AG32" s="2272"/>
      <c r="AH32" s="2272"/>
      <c r="AI32" s="252"/>
      <c r="AJ32" s="252"/>
      <c r="AK32" s="199"/>
      <c r="AL32" s="296"/>
      <c r="AM32" s="296"/>
      <c r="AN32" s="296"/>
      <c r="AO32" s="296"/>
      <c r="AP32" s="296"/>
    </row>
    <row r="33" spans="1:42" s="1936" customFormat="1" ht="18.75" hidden="1" customHeight="1">
      <c r="A33" s="1284"/>
      <c r="B33" s="1284"/>
      <c r="C33" s="1284"/>
      <c r="D33" s="1284"/>
      <c r="E33" s="1284"/>
      <c r="F33" s="1284"/>
      <c r="G33" s="1284"/>
      <c r="H33" s="1284"/>
      <c r="I33" s="1284"/>
      <c r="J33" s="1284"/>
      <c r="K33" s="1284"/>
      <c r="L33" s="1285"/>
      <c r="M33" s="1284"/>
      <c r="N33" s="1284"/>
      <c r="O33" s="1284"/>
      <c r="S33" s="2262" t="s">
        <v>415</v>
      </c>
      <c r="T33" s="2262"/>
      <c r="U33" s="1288"/>
      <c r="V33" s="2263" t="str">
        <f>IF(TITLE_NUMBER_PR_CHANGE="",IF(TITLE_NUMBER_PR="","",TITLE_NUMBER_PR),TITLE_NUMBER_PR_CHANGE)</f>
        <v>924-в</v>
      </c>
      <c r="W33" s="2263"/>
      <c r="X33" s="2263"/>
      <c r="Y33" s="2263"/>
      <c r="Z33" s="2263"/>
      <c r="AA33" s="2263"/>
      <c r="AB33" s="252"/>
      <c r="AC33" s="2263" t="str">
        <f>IF(TITLE_NUMBER_PR_CHANGE="",IF(TITLE_NUMBER_PR="","",TITLE_NUMBER_PR),TITLE_NUMBER_PR_CHANGE)</f>
        <v>924-в</v>
      </c>
      <c r="AD33" s="2263"/>
      <c r="AE33" s="2263"/>
      <c r="AF33" s="2263"/>
      <c r="AG33" s="2263"/>
      <c r="AH33" s="2263"/>
      <c r="AI33" s="252"/>
      <c r="AJ33" s="252"/>
      <c r="AK33" s="199"/>
      <c r="AL33" s="296"/>
      <c r="AM33" s="296"/>
      <c r="AN33" s="296"/>
      <c r="AO33" s="296"/>
      <c r="AP33" s="296"/>
    </row>
    <row r="34" spans="1:42" s="1936" customFormat="1" ht="0.75" customHeight="1">
      <c r="A34" s="1284"/>
      <c r="B34" s="1284"/>
      <c r="C34" s="1284"/>
      <c r="D34" s="1284"/>
      <c r="E34" s="1284"/>
      <c r="F34" s="1284"/>
      <c r="G34" s="1284"/>
      <c r="H34" s="1284"/>
      <c r="I34" s="1284"/>
      <c r="J34" s="1284"/>
      <c r="K34" s="1284"/>
      <c r="L34" s="1285"/>
      <c r="M34" s="1284"/>
      <c r="N34" s="1284"/>
      <c r="O34" s="1284"/>
      <c r="S34" s="248"/>
      <c r="T34" s="248"/>
      <c r="U34" s="1367"/>
      <c r="V34" s="252"/>
      <c r="W34" s="252"/>
      <c r="X34" s="252"/>
      <c r="Y34" s="252"/>
      <c r="Z34" s="252"/>
      <c r="AA34" s="252"/>
      <c r="AB34" s="197" t="s">
        <v>416</v>
      </c>
      <c r="AC34" s="252"/>
      <c r="AD34" s="252"/>
      <c r="AE34" s="252"/>
      <c r="AF34" s="252"/>
      <c r="AG34" s="252"/>
      <c r="AH34" s="252"/>
      <c r="AI34" s="197" t="s">
        <v>416</v>
      </c>
      <c r="AL34" s="296"/>
      <c r="AM34" s="296"/>
      <c r="AN34" s="296"/>
      <c r="AO34" s="296"/>
      <c r="AP34" s="296"/>
    </row>
    <row r="35" spans="1:42" ht="14.25" customHeight="1">
      <c r="Q35" s="305"/>
      <c r="R35" s="305"/>
      <c r="S35" s="1195"/>
      <c r="T35" s="290"/>
      <c r="U35" s="1153"/>
      <c r="V35" s="2264"/>
      <c r="W35" s="2264"/>
      <c r="X35" s="2264"/>
      <c r="Y35" s="2264"/>
      <c r="Z35" s="2264"/>
      <c r="AA35" s="2264"/>
      <c r="AB35" s="2264"/>
      <c r="AC35" s="2264"/>
      <c r="AD35" s="2264"/>
      <c r="AE35" s="2264"/>
      <c r="AF35" s="2264"/>
      <c r="AG35" s="2264"/>
      <c r="AH35" s="2264"/>
      <c r="AI35" s="2264"/>
    </row>
    <row r="36" spans="1:42" ht="14.25" customHeight="1">
      <c r="Q36" s="305"/>
      <c r="R36" s="305"/>
      <c r="S36" s="2143" t="s">
        <v>289</v>
      </c>
      <c r="T36" s="2143"/>
      <c r="U36" s="2143"/>
      <c r="V36" s="2143"/>
      <c r="W36" s="2143"/>
      <c r="X36" s="2143"/>
      <c r="Y36" s="2143"/>
      <c r="Z36" s="2143"/>
      <c r="AA36" s="2143"/>
      <c r="AB36" s="2143"/>
      <c r="AC36" s="2143"/>
      <c r="AD36" s="2143"/>
      <c r="AE36" s="2143"/>
      <c r="AF36" s="2143"/>
      <c r="AG36" s="2143"/>
      <c r="AH36" s="2143"/>
      <c r="AI36" s="2143"/>
      <c r="AJ36" s="2143"/>
      <c r="AK36" s="2143" t="s">
        <v>290</v>
      </c>
    </row>
    <row r="37" spans="1:42" ht="14.25" customHeight="1">
      <c r="Q37" s="305"/>
      <c r="R37" s="305"/>
      <c r="S37" s="2278" t="s">
        <v>87</v>
      </c>
      <c r="T37" s="2229" t="s">
        <v>417</v>
      </c>
      <c r="U37" s="219"/>
      <c r="V37" s="2279" t="s">
        <v>418</v>
      </c>
      <c r="W37" s="2280"/>
      <c r="X37" s="2280"/>
      <c r="Y37" s="2280"/>
      <c r="Z37" s="2280"/>
      <c r="AA37" s="2281"/>
      <c r="AB37" s="2282" t="s">
        <v>419</v>
      </c>
      <c r="AC37" s="2279" t="s">
        <v>418</v>
      </c>
      <c r="AD37" s="2280"/>
      <c r="AE37" s="2280"/>
      <c r="AF37" s="2280"/>
      <c r="AG37" s="2280"/>
      <c r="AH37" s="2281"/>
      <c r="AI37" s="2282" t="s">
        <v>420</v>
      </c>
      <c r="AJ37" s="2285" t="s">
        <v>421</v>
      </c>
      <c r="AK37" s="2143"/>
    </row>
    <row r="38" spans="1:42" ht="33.75" customHeight="1">
      <c r="Q38" s="305"/>
      <c r="R38" s="305"/>
      <c r="S38" s="2278"/>
      <c r="T38" s="2229"/>
      <c r="U38" s="938"/>
      <c r="V38" s="1365" t="s">
        <v>478</v>
      </c>
      <c r="W38" s="2115" t="s">
        <v>424</v>
      </c>
      <c r="X38" s="2114"/>
      <c r="Y38" s="2115" t="s">
        <v>425</v>
      </c>
      <c r="Z38" s="2120"/>
      <c r="AA38" s="2114"/>
      <c r="AB38" s="2283"/>
      <c r="AC38" s="1365" t="s">
        <v>478</v>
      </c>
      <c r="AD38" s="2115" t="s">
        <v>424</v>
      </c>
      <c r="AE38" s="2114"/>
      <c r="AF38" s="2115" t="s">
        <v>425</v>
      </c>
      <c r="AG38" s="2120"/>
      <c r="AH38" s="2114"/>
      <c r="AI38" s="2283"/>
      <c r="AJ38" s="2286"/>
      <c r="AK38" s="2143"/>
    </row>
    <row r="39" spans="1:42" ht="33.75" customHeight="1">
      <c r="A39" s="1286"/>
      <c r="B39" s="1286" t="s">
        <v>134</v>
      </c>
      <c r="C39" s="1286" t="s">
        <v>135</v>
      </c>
      <c r="D39" s="1286" t="s">
        <v>136</v>
      </c>
      <c r="E39" s="1280" t="s">
        <v>426</v>
      </c>
      <c r="F39" s="1280" t="s">
        <v>427</v>
      </c>
      <c r="G39" s="1280" t="s">
        <v>428</v>
      </c>
      <c r="H39" s="1280"/>
      <c r="I39" s="1280" t="s">
        <v>479</v>
      </c>
      <c r="J39" s="1280" t="s">
        <v>431</v>
      </c>
      <c r="K39" s="1280" t="s">
        <v>480</v>
      </c>
      <c r="L39" s="1280" t="s">
        <v>407</v>
      </c>
      <c r="Q39" s="305"/>
      <c r="R39" s="305"/>
      <c r="S39" s="2278"/>
      <c r="T39" s="2229"/>
      <c r="U39" s="220"/>
      <c r="V39" s="1365" t="s">
        <v>481</v>
      </c>
      <c r="W39" s="1128" t="s">
        <v>482</v>
      </c>
      <c r="X39" s="1128" t="s">
        <v>483</v>
      </c>
      <c r="Y39" s="1368" t="s">
        <v>435</v>
      </c>
      <c r="Z39" s="2238" t="s">
        <v>436</v>
      </c>
      <c r="AA39" s="2240"/>
      <c r="AB39" s="2284"/>
      <c r="AC39" s="1365" t="s">
        <v>481</v>
      </c>
      <c r="AD39" s="1128" t="s">
        <v>482</v>
      </c>
      <c r="AE39" s="1128" t="s">
        <v>483</v>
      </c>
      <c r="AF39" s="1368" t="s">
        <v>435</v>
      </c>
      <c r="AG39" s="2238" t="s">
        <v>436</v>
      </c>
      <c r="AH39" s="2240"/>
      <c r="AI39" s="2284"/>
      <c r="AJ39" s="2287"/>
      <c r="AK39" s="2143"/>
    </row>
    <row r="40" spans="1:42" s="1819" customFormat="1" ht="0"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108</v>
      </c>
      <c r="T40" s="1172" t="s">
        <v>109</v>
      </c>
      <c r="U40" s="1154" t="str">
        <f ca="1">OFFSET(U40,0,-1)</f>
        <v>2</v>
      </c>
      <c r="V40" s="1364">
        <f ca="1">OFFSET(V40,0,-1)+1</f>
        <v>3</v>
      </c>
      <c r="W40" s="1364">
        <f ca="1">OFFSET(W40,0,-1)+1</f>
        <v>4</v>
      </c>
      <c r="X40" s="1364">
        <f ca="1">OFFSET(X40,0,-1)+1</f>
        <v>5</v>
      </c>
      <c r="Y40" s="1364">
        <f ca="1">OFFSET(Y40,0,-1)+1</f>
        <v>6</v>
      </c>
      <c r="Z40" s="2277">
        <f ca="1">OFFSET(Z40,0,-1)+1</f>
        <v>7</v>
      </c>
      <c r="AA40" s="2277"/>
      <c r="AB40" s="1364">
        <f ca="1">OFFSET(AB40,0,-2)+1</f>
        <v>8</v>
      </c>
      <c r="AC40" s="1364">
        <f ca="1">OFFSET(AC40,0,-1)+1</f>
        <v>9</v>
      </c>
      <c r="AD40" s="1364">
        <f ca="1">OFFSET(AD40,0,-1)+1</f>
        <v>10</v>
      </c>
      <c r="AE40" s="1364">
        <f ca="1">OFFSET(AE40,0,-1)+1</f>
        <v>11</v>
      </c>
      <c r="AF40" s="1364">
        <f ca="1">OFFSET(AF40,0,-1)+1</f>
        <v>12</v>
      </c>
      <c r="AG40" s="2277">
        <f ca="1">OFFSET(AG40,0,-1)+1</f>
        <v>13</v>
      </c>
      <c r="AH40" s="2277"/>
      <c r="AI40" s="1364">
        <f ca="1">OFFSET(AI40,0,-2)+1</f>
        <v>14</v>
      </c>
      <c r="AJ40" s="1154">
        <f ca="1">OFFSET(AJ40,0,-1)</f>
        <v>14</v>
      </c>
      <c r="AK40" s="1364">
        <f ca="1">OFFSET(AK40,0,-1)+1</f>
        <v>15</v>
      </c>
      <c r="AL40" s="437"/>
      <c r="AM40" s="437"/>
      <c r="AN40" s="437"/>
      <c r="AO40" s="437"/>
      <c r="AP40" s="437"/>
    </row>
    <row r="41" spans="1:42" ht="23.25" customHeight="1">
      <c r="A41" s="1279" t="s">
        <v>230</v>
      </c>
      <c r="B41" s="1279"/>
      <c r="C41" s="1279"/>
      <c r="D41" s="1279"/>
      <c r="E41" s="2270">
        <v>1</v>
      </c>
      <c r="F41" s="1279"/>
      <c r="G41" s="1279"/>
      <c r="H41" s="1279"/>
      <c r="I41" s="1279"/>
      <c r="J41" s="1279"/>
      <c r="K41" s="1279"/>
      <c r="L41" s="1280"/>
      <c r="M41" s="1281"/>
      <c r="N41" s="1281"/>
      <c r="O41" s="1281"/>
      <c r="P41" s="286"/>
      <c r="Q41" s="285"/>
      <c r="R41" s="280"/>
      <c r="S41" s="1370">
        <f>INDEX(PT_DIFFERENTIATION_NUM_NTAR,MATCH(A41,PT_DIFFERENTIATION_NTAR_ID,0))</f>
        <v>0</v>
      </c>
      <c r="T41" s="216" t="s">
        <v>122</v>
      </c>
      <c r="U41" s="218"/>
      <c r="V41" s="2256"/>
      <c r="W41" s="2257"/>
      <c r="X41" s="2257"/>
      <c r="Y41" s="2257"/>
      <c r="Z41" s="2257"/>
      <c r="AA41" s="2257"/>
      <c r="AB41" s="2258"/>
      <c r="AC41" s="2256" t="str">
        <f>INDEX(PT_DIFFERENTIATION_NTAR,MATCH(A41,PT_DIFFERENTIATION_NTAR_ID,0))</f>
        <v/>
      </c>
      <c r="AD41" s="2257"/>
      <c r="AE41" s="2257"/>
      <c r="AF41" s="2257"/>
      <c r="AG41" s="2257"/>
      <c r="AH41" s="2257"/>
      <c r="AI41" s="2257"/>
      <c r="AJ41" s="2258"/>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79" t="s">
        <v>230</v>
      </c>
      <c r="B42" s="1279" t="s">
        <v>231</v>
      </c>
      <c r="C42" s="1279"/>
      <c r="D42" s="1279"/>
      <c r="E42" s="2271"/>
      <c r="F42" s="2270">
        <v>1</v>
      </c>
      <c r="G42" s="1279"/>
      <c r="H42" s="1279"/>
      <c r="I42" s="1279"/>
      <c r="J42" s="1279"/>
      <c r="K42" s="1279"/>
      <c r="L42" s="1280"/>
      <c r="M42" s="1281"/>
      <c r="N42" s="1281"/>
      <c r="O42" s="1281"/>
      <c r="P42" s="1366"/>
      <c r="Q42" s="277"/>
      <c r="R42" s="278"/>
      <c r="S42" s="1370" t="str">
        <f>INDEX(PT_DIFFERENTIATION_NUM_TER,MATCH(B42,PT_DIFFERENTIATION_TER_ID,0))</f>
        <v>.</v>
      </c>
      <c r="T42" s="228" t="s">
        <v>388</v>
      </c>
      <c r="U42" s="218"/>
      <c r="V42" s="2256"/>
      <c r="W42" s="2257"/>
      <c r="X42" s="2257"/>
      <c r="Y42" s="2257"/>
      <c r="Z42" s="2257"/>
      <c r="AA42" s="2257"/>
      <c r="AB42" s="2258"/>
      <c r="AC42" s="2256" t="str">
        <f>INDEX(PT_DIFFERENTIATION_TER,MATCH(B42,PT_DIFFERENTIATION_TER_ID,0))</f>
        <v/>
      </c>
      <c r="AD42" s="2257"/>
      <c r="AE42" s="2257"/>
      <c r="AF42" s="2257"/>
      <c r="AG42" s="2257"/>
      <c r="AH42" s="2257"/>
      <c r="AI42" s="2257"/>
      <c r="AJ42" s="2258"/>
      <c r="AK42" s="1177" t="s">
        <v>389</v>
      </c>
      <c r="AM42" s="426"/>
      <c r="AN42" s="426" t="str">
        <f t="shared" si="1"/>
        <v>Территория действия тарифа</v>
      </c>
      <c r="AO42" s="426"/>
      <c r="AP42" s="426"/>
    </row>
    <row r="43" spans="1:42" ht="23.25" customHeight="1">
      <c r="A43" s="1279" t="s">
        <v>230</v>
      </c>
      <c r="B43" s="1279" t="s">
        <v>231</v>
      </c>
      <c r="C43" s="1279" t="s">
        <v>232</v>
      </c>
      <c r="D43" s="1279"/>
      <c r="E43" s="2271"/>
      <c r="F43" s="2271"/>
      <c r="G43" s="2270">
        <v>1</v>
      </c>
      <c r="H43" s="1279"/>
      <c r="I43" s="1279"/>
      <c r="J43" s="1279"/>
      <c r="K43" s="1279"/>
      <c r="L43" s="1280"/>
      <c r="M43" s="1281"/>
      <c r="N43" s="1281"/>
      <c r="O43" s="1281"/>
      <c r="P43" s="279"/>
      <c r="Q43" s="277"/>
      <c r="R43" s="278"/>
      <c r="S43" s="1370" t="str">
        <f>INDEX(PT_DIFFERENTIATION_NUM_CS,MATCH(C43,PT_DIFFERENTIATION_CS_ID,0))</f>
        <v>..</v>
      </c>
      <c r="T43" s="229" t="s">
        <v>469</v>
      </c>
      <c r="U43" s="218"/>
      <c r="V43" s="2256"/>
      <c r="W43" s="2257"/>
      <c r="X43" s="2257"/>
      <c r="Y43" s="2257"/>
      <c r="Z43" s="2257"/>
      <c r="AA43" s="2257"/>
      <c r="AB43" s="2258"/>
      <c r="AC43" s="2256" t="str">
        <f>INDEX(PT_DIFFERENTIATION_CS,MATCH(C43,PT_DIFFERENTIATION_CS_ID,0))</f>
        <v/>
      </c>
      <c r="AD43" s="2257"/>
      <c r="AE43" s="2257"/>
      <c r="AF43" s="2257"/>
      <c r="AG43" s="2257"/>
      <c r="AH43" s="2257"/>
      <c r="AI43" s="2257"/>
      <c r="AJ43" s="2258"/>
      <c r="AK43" s="1177" t="s">
        <v>470</v>
      </c>
      <c r="AM43" s="426"/>
      <c r="AN43" s="426" t="str">
        <f t="shared" si="1"/>
        <v>Наименование централизованной системы холодного водоснабжения</v>
      </c>
      <c r="AO43" s="426"/>
      <c r="AP43" s="426"/>
    </row>
    <row r="44" spans="1:42" ht="23.25" customHeight="1">
      <c r="A44" s="1279" t="s">
        <v>230</v>
      </c>
      <c r="B44" s="1279" t="s">
        <v>231</v>
      </c>
      <c r="C44" s="1279" t="s">
        <v>232</v>
      </c>
      <c r="D44" s="1279" t="s">
        <v>490</v>
      </c>
      <c r="E44" s="2271"/>
      <c r="F44" s="2271"/>
      <c r="G44" s="2271"/>
      <c r="H44" s="2271"/>
      <c r="I44" s="2268" t="str">
        <f>S43&amp;".1"</f>
        <v>...1</v>
      </c>
      <c r="J44" s="1279"/>
      <c r="K44" s="1279"/>
      <c r="L44" s="1280"/>
      <c r="P44" s="2269">
        <v>1</v>
      </c>
      <c r="Q44" s="1363"/>
      <c r="R44" s="281"/>
      <c r="S44" s="1370" t="str">
        <f>$I44</f>
        <v>...1</v>
      </c>
      <c r="T44" s="203" t="s">
        <v>471</v>
      </c>
      <c r="U44" s="218"/>
      <c r="V44" s="2329"/>
      <c r="W44" s="2330"/>
      <c r="X44" s="2330"/>
      <c r="Y44" s="2330"/>
      <c r="Z44" s="2330"/>
      <c r="AA44" s="2330"/>
      <c r="AB44" s="2331"/>
      <c r="AC44" s="2332"/>
      <c r="AD44" s="2333"/>
      <c r="AE44" s="2333"/>
      <c r="AF44" s="2333"/>
      <c r="AG44" s="2333"/>
      <c r="AH44" s="2333"/>
      <c r="AI44" s="2333"/>
      <c r="AJ44" s="2334"/>
      <c r="AK44" s="1177" t="s">
        <v>472</v>
      </c>
      <c r="AM44" s="426"/>
      <c r="AN44" s="426" t="str">
        <f t="shared" si="1"/>
        <v>Наименование признака дифференциации</v>
      </c>
      <c r="AO44" s="426"/>
      <c r="AP44" s="426"/>
    </row>
    <row r="45" spans="1:42" ht="23.25" customHeight="1">
      <c r="A45" s="1279" t="s">
        <v>230</v>
      </c>
      <c r="B45" s="1279" t="s">
        <v>231</v>
      </c>
      <c r="C45" s="1279" t="s">
        <v>232</v>
      </c>
      <c r="D45" s="1279" t="s">
        <v>490</v>
      </c>
      <c r="E45" s="2271"/>
      <c r="F45" s="2271"/>
      <c r="G45" s="2271"/>
      <c r="H45" s="2271"/>
      <c r="I45" s="2291"/>
      <c r="J45" s="2268" t="str">
        <f>I44&amp;".1"</f>
        <v>...1.1</v>
      </c>
      <c r="K45" s="1279"/>
      <c r="L45" s="1280" t="s">
        <v>397</v>
      </c>
      <c r="P45" s="2269"/>
      <c r="Q45" s="2269">
        <v>1</v>
      </c>
      <c r="R45" s="282"/>
      <c r="S45" s="1370" t="str">
        <f>$J45</f>
        <v>...1.1</v>
      </c>
      <c r="T45" s="204" t="s">
        <v>398</v>
      </c>
      <c r="U45" s="218"/>
      <c r="V45" s="2259"/>
      <c r="W45" s="2260"/>
      <c r="X45" s="2260"/>
      <c r="Y45" s="2260"/>
      <c r="Z45" s="2260"/>
      <c r="AA45" s="2260"/>
      <c r="AB45" s="2261"/>
      <c r="AC45" s="2259"/>
      <c r="AD45" s="2260"/>
      <c r="AE45" s="2260"/>
      <c r="AF45" s="2260"/>
      <c r="AG45" s="2260"/>
      <c r="AH45" s="2260"/>
      <c r="AI45" s="2260"/>
      <c r="AJ45" s="2261"/>
      <c r="AK45" s="1226" t="s">
        <v>473</v>
      </c>
      <c r="AM45" s="426"/>
      <c r="AN45" s="426" t="str">
        <f t="shared" si="1"/>
        <v>Группа потребителей</v>
      </c>
      <c r="AO45" s="426"/>
      <c r="AP45" s="426"/>
    </row>
    <row r="46" spans="1:42" ht="23.25" customHeight="1">
      <c r="A46" s="1279" t="s">
        <v>230</v>
      </c>
      <c r="B46" s="1279" t="s">
        <v>231</v>
      </c>
      <c r="C46" s="1279" t="s">
        <v>232</v>
      </c>
      <c r="D46" s="1279" t="s">
        <v>490</v>
      </c>
      <c r="E46" s="2271"/>
      <c r="F46" s="2271"/>
      <c r="G46" s="2271"/>
      <c r="H46" s="2271"/>
      <c r="I46" s="2291"/>
      <c r="J46" s="2291"/>
      <c r="K46" s="2268" t="str">
        <f>J45&amp;".1"</f>
        <v>...1.1.1</v>
      </c>
      <c r="L46" s="1280"/>
      <c r="P46" s="2269"/>
      <c r="Q46" s="2269"/>
      <c r="R46" s="282">
        <v>1</v>
      </c>
      <c r="S46" s="1370" t="str">
        <f>$K46</f>
        <v>...1.1.1</v>
      </c>
      <c r="T46" s="1352"/>
      <c r="U46" s="218"/>
      <c r="V46" s="668"/>
      <c r="W46" s="668"/>
      <c r="X46" s="1176"/>
      <c r="Y46" s="2273"/>
      <c r="Z46" s="2124" t="s">
        <v>61</v>
      </c>
      <c r="AA46" s="2273"/>
      <c r="AB46" s="2124" t="s">
        <v>61</v>
      </c>
      <c r="AC46" s="668"/>
      <c r="AD46" s="668"/>
      <c r="AE46" s="1176"/>
      <c r="AF46" s="2273"/>
      <c r="AG46" s="2124" t="s">
        <v>61</v>
      </c>
      <c r="AH46" s="2292"/>
      <c r="AI46" s="2124" t="s">
        <v>61</v>
      </c>
      <c r="AJ46" s="1353"/>
      <c r="AK46"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79" t="s">
        <v>230</v>
      </c>
      <c r="B47" s="1279" t="s">
        <v>231</v>
      </c>
      <c r="C47" s="1279" t="s">
        <v>232</v>
      </c>
      <c r="D47" s="1279" t="s">
        <v>490</v>
      </c>
      <c r="E47" s="2271"/>
      <c r="F47" s="2271"/>
      <c r="G47" s="2271"/>
      <c r="H47" s="2271"/>
      <c r="I47" s="2291"/>
      <c r="J47" s="2291"/>
      <c r="K47" s="2268"/>
      <c r="L47" s="1280"/>
      <c r="P47" s="2269"/>
      <c r="Q47" s="2269"/>
      <c r="R47" s="282"/>
      <c r="S47" s="1369"/>
      <c r="T47" s="218"/>
      <c r="U47" s="218"/>
      <c r="V47" s="250"/>
      <c r="W47" s="250"/>
      <c r="X47" s="254" t="str">
        <f>Y46&amp;"-"&amp;AA46</f>
        <v>-</v>
      </c>
      <c r="Y47" s="2274"/>
      <c r="Z47" s="2124"/>
      <c r="AA47" s="2274"/>
      <c r="AB47" s="2124"/>
      <c r="AC47" s="250"/>
      <c r="AD47" s="250"/>
      <c r="AE47" s="254" t="str">
        <f>AF46&amp;"-"&amp;AH46</f>
        <v>-</v>
      </c>
      <c r="AF47" s="2274"/>
      <c r="AG47" s="2124"/>
      <c r="AH47" s="2293"/>
      <c r="AI47" s="2124"/>
      <c r="AJ47" s="1354"/>
      <c r="AK47" s="2328"/>
      <c r="AM47" s="426"/>
      <c r="AN47" s="426" t="str">
        <f t="shared" si="1"/>
        <v/>
      </c>
      <c r="AO47" s="426"/>
      <c r="AP47" s="426"/>
    </row>
    <row r="48" spans="1:42" ht="21" customHeight="1">
      <c r="A48" s="1279" t="s">
        <v>230</v>
      </c>
      <c r="B48" s="1279" t="s">
        <v>231</v>
      </c>
      <c r="C48" s="1279" t="s">
        <v>232</v>
      </c>
      <c r="D48" s="1279" t="s">
        <v>490</v>
      </c>
      <c r="E48" s="2271"/>
      <c r="F48" s="2271"/>
      <c r="G48" s="2271"/>
      <c r="H48" s="2271"/>
      <c r="I48" s="2291"/>
      <c r="J48" s="2268"/>
      <c r="K48" s="1279"/>
      <c r="L48" s="1280"/>
      <c r="P48" s="2269"/>
      <c r="Q48" s="2269"/>
      <c r="R48" s="281"/>
      <c r="S48" s="1198"/>
      <c r="T48" s="205" t="s">
        <v>474</v>
      </c>
      <c r="U48" s="295"/>
      <c r="V48" s="295"/>
      <c r="W48" s="295"/>
      <c r="X48" s="295"/>
      <c r="Y48" s="295"/>
      <c r="Z48" s="295"/>
      <c r="AA48" s="295"/>
      <c r="AB48" s="295"/>
      <c r="AC48" s="295"/>
      <c r="AD48" s="295"/>
      <c r="AE48" s="295"/>
      <c r="AF48" s="295"/>
      <c r="AG48" s="295"/>
      <c r="AH48" s="295"/>
      <c r="AI48" s="295"/>
      <c r="AJ48" s="295"/>
      <c r="AK48" s="1177" t="s">
        <v>475</v>
      </c>
      <c r="AM48" s="426"/>
      <c r="AN48" s="426" t="str">
        <f t="shared" si="1"/>
        <v>Добавить значение признака дифференциации</v>
      </c>
      <c r="AO48" s="426"/>
      <c r="AP48" s="426"/>
    </row>
    <row r="49" spans="1:42" ht="21" customHeight="1">
      <c r="A49" s="1279" t="s">
        <v>230</v>
      </c>
      <c r="B49" s="1279" t="s">
        <v>231</v>
      </c>
      <c r="C49" s="1279" t="s">
        <v>232</v>
      </c>
      <c r="D49" s="1279" t="s">
        <v>490</v>
      </c>
      <c r="E49" s="2271"/>
      <c r="F49" s="2271"/>
      <c r="G49" s="2271"/>
      <c r="H49" s="2271"/>
      <c r="I49" s="2268"/>
      <c r="J49" s="1279"/>
      <c r="K49" s="1279"/>
      <c r="L49" s="1280"/>
      <c r="P49" s="2269"/>
      <c r="Q49" s="1363"/>
      <c r="R49" s="281"/>
      <c r="S49" s="1198"/>
      <c r="T49" s="292" t="s">
        <v>403</v>
      </c>
      <c r="U49" s="295"/>
      <c r="V49" s="295"/>
      <c r="W49" s="295"/>
      <c r="X49" s="295"/>
      <c r="Y49" s="295"/>
      <c r="Z49" s="295"/>
      <c r="AA49" s="295"/>
      <c r="AB49" s="294"/>
      <c r="AC49" s="295"/>
      <c r="AD49" s="295"/>
      <c r="AE49" s="295"/>
      <c r="AF49" s="295"/>
      <c r="AG49" s="295"/>
      <c r="AH49" s="295"/>
      <c r="AI49" s="294"/>
      <c r="AJ49" s="295"/>
      <c r="AK49" s="1355"/>
      <c r="AM49" s="426"/>
      <c r="AN49" s="426" t="str">
        <f t="shared" si="1"/>
        <v>Добавить группу потребителей</v>
      </c>
      <c r="AO49" s="426"/>
      <c r="AP49" s="426"/>
    </row>
    <row r="50" spans="1:42" ht="21" customHeight="1">
      <c r="A50" s="1279" t="s">
        <v>230</v>
      </c>
      <c r="B50" s="1279" t="s">
        <v>231</v>
      </c>
      <c r="C50" s="1279" t="s">
        <v>232</v>
      </c>
      <c r="D50" s="1279" t="s">
        <v>490</v>
      </c>
      <c r="E50" s="2271"/>
      <c r="F50" s="2271"/>
      <c r="G50" s="2271"/>
      <c r="H50" s="2270"/>
      <c r="I50" s="1279"/>
      <c r="J50" s="1279"/>
      <c r="K50" s="1279"/>
      <c r="L50" s="1280"/>
      <c r="M50" s="1281"/>
      <c r="N50" s="1281"/>
      <c r="O50" s="462"/>
      <c r="P50" s="285"/>
      <c r="Q50" s="304"/>
      <c r="R50" s="280"/>
      <c r="S50" s="1198"/>
      <c r="T50" s="300" t="s">
        <v>476</v>
      </c>
      <c r="U50" s="295"/>
      <c r="V50" s="295"/>
      <c r="W50" s="295"/>
      <c r="X50" s="295"/>
      <c r="Y50" s="295"/>
      <c r="Z50" s="295"/>
      <c r="AA50" s="295"/>
      <c r="AB50" s="294"/>
      <c r="AC50" s="295"/>
      <c r="AD50" s="295"/>
      <c r="AE50" s="295"/>
      <c r="AF50" s="295"/>
      <c r="AG50" s="295"/>
      <c r="AH50" s="295"/>
      <c r="AI50" s="294"/>
      <c r="AJ50" s="295"/>
      <c r="AK50" s="221"/>
      <c r="AM50" s="426"/>
      <c r="AN50" s="426" t="str">
        <f t="shared" si="1"/>
        <v>Добавить наименование признака дифференциации</v>
      </c>
      <c r="AO50" s="426"/>
      <c r="AP50" s="426"/>
    </row>
    <row r="51" spans="1:42" s="1930" customFormat="1" ht="0" hidden="1" customHeight="1">
      <c r="A51" s="1260" t="s">
        <v>230</v>
      </c>
      <c r="B51" s="1260" t="s">
        <v>231</v>
      </c>
      <c r="C51" s="1232"/>
      <c r="D51" s="1232"/>
      <c r="E51" s="2271"/>
      <c r="F51" s="2270"/>
      <c r="G51" s="1232"/>
      <c r="H51" s="1232"/>
      <c r="I51" s="1232"/>
      <c r="J51" s="1232"/>
      <c r="K51" s="1232"/>
      <c r="L51" s="1371"/>
      <c r="M51" s="1239"/>
      <c r="N51" s="1239"/>
      <c r="P51" s="1234"/>
      <c r="Q51" s="1235"/>
      <c r="R51" s="1234"/>
      <c r="S51" s="1240"/>
      <c r="T51" s="1243" t="s">
        <v>215</v>
      </c>
      <c r="U51" s="1242"/>
      <c r="V51" s="1242"/>
      <c r="W51" s="1242"/>
      <c r="X51" s="1242"/>
      <c r="Y51" s="1242"/>
      <c r="Z51" s="1242"/>
      <c r="AA51" s="1242"/>
      <c r="AB51" s="1242"/>
      <c r="AC51" s="1242"/>
      <c r="AD51" s="1242"/>
      <c r="AE51" s="1242"/>
      <c r="AF51" s="1242"/>
      <c r="AG51" s="1242"/>
      <c r="AH51" s="1242"/>
      <c r="AI51" s="1242"/>
      <c r="AJ51" s="1242"/>
      <c r="AK51" s="1242"/>
      <c r="AM51" s="706"/>
      <c r="AN51" s="706" t="str">
        <f t="shared" si="1"/>
        <v>Добавить централизованную систему для дифференциации</v>
      </c>
      <c r="AO51" s="706"/>
      <c r="AP51" s="706"/>
    </row>
    <row r="52" spans="1:42" s="1820" customFormat="1" ht="0" hidden="1" customHeight="1">
      <c r="A52" s="1260" t="s">
        <v>230</v>
      </c>
      <c r="B52" s="1260"/>
      <c r="C52" s="1260"/>
      <c r="D52" s="1260"/>
      <c r="E52" s="2270"/>
      <c r="F52" s="1260"/>
      <c r="G52" s="1260"/>
      <c r="H52" s="1260"/>
      <c r="I52" s="1260"/>
      <c r="J52" s="1260"/>
      <c r="K52" s="1260"/>
      <c r="L52" s="1263"/>
      <c r="M52" s="1239"/>
      <c r="N52" s="1239"/>
      <c r="O52" s="444"/>
      <c r="P52" s="313"/>
      <c r="Q52" s="1261"/>
      <c r="R52" s="313"/>
      <c r="S52" s="1240"/>
      <c r="T52" s="1243" t="s">
        <v>216</v>
      </c>
      <c r="U52" s="1242"/>
      <c r="V52" s="1242"/>
      <c r="W52" s="1242"/>
      <c r="X52" s="1242"/>
      <c r="Y52" s="1242"/>
      <c r="Z52" s="1242"/>
      <c r="AA52" s="1242"/>
      <c r="AB52" s="1242"/>
      <c r="AC52" s="1242"/>
      <c r="AD52" s="1242"/>
      <c r="AE52" s="1242"/>
      <c r="AF52" s="1242"/>
      <c r="AG52" s="1242"/>
      <c r="AH52" s="1242"/>
      <c r="AI52" s="1242"/>
      <c r="AJ52" s="1242"/>
      <c r="AK52" s="1242"/>
      <c r="AM52" s="426"/>
      <c r="AN52" s="426" t="str">
        <f t="shared" si="1"/>
        <v>Добавить территорию для дифференциации</v>
      </c>
      <c r="AO52" s="426"/>
      <c r="AP52" s="426"/>
    </row>
    <row r="53" spans="1:42" s="1930" customFormat="1" ht="0" hidden="1" customHeight="1">
      <c r="A53" s="1232"/>
      <c r="B53" s="1232"/>
      <c r="C53" s="1232"/>
      <c r="D53" s="1232"/>
      <c r="E53" s="1260"/>
      <c r="F53" s="1232"/>
      <c r="G53" s="1232"/>
      <c r="H53" s="1232"/>
      <c r="I53" s="1232"/>
      <c r="J53" s="1232"/>
      <c r="K53" s="1232"/>
      <c r="L53" s="1371"/>
      <c r="M53" s="1239"/>
      <c r="N53" s="1239"/>
      <c r="P53" s="1234"/>
      <c r="Q53" s="1235"/>
      <c r="R53" s="1234"/>
      <c r="S53" s="1240"/>
      <c r="T53" s="1243" t="s">
        <v>217</v>
      </c>
      <c r="U53" s="1242"/>
      <c r="V53" s="1242"/>
      <c r="W53" s="1242"/>
      <c r="X53" s="1242"/>
      <c r="Y53" s="1242"/>
      <c r="Z53" s="1242"/>
      <c r="AA53" s="1242"/>
      <c r="AB53" s="1242"/>
      <c r="AC53" s="1242"/>
      <c r="AD53" s="1242"/>
      <c r="AE53" s="1242"/>
      <c r="AF53" s="1242"/>
      <c r="AG53" s="1242"/>
      <c r="AH53" s="1242"/>
      <c r="AI53" s="1242"/>
      <c r="AJ53" s="1242"/>
      <c r="AK53" s="1242"/>
      <c r="AM53" s="706"/>
      <c r="AN53" s="706" t="str">
        <f t="shared" si="1"/>
        <v>Добавить наименование тарифа</v>
      </c>
      <c r="AO53" s="706"/>
      <c r="AP53" s="706"/>
    </row>
    <row r="54" spans="1:42" ht="11.25" customHeight="1">
      <c r="M54" s="1060"/>
      <c r="N54" s="1060"/>
      <c r="O54" s="462"/>
      <c r="P54" s="1055"/>
      <c r="Q54" s="1055"/>
      <c r="R54" s="1055"/>
      <c r="S54" s="1055"/>
      <c r="AL54" s="1055"/>
      <c r="AM54" s="1055"/>
      <c r="AN54" s="1055"/>
      <c r="AO54" s="1055"/>
      <c r="AP54" s="1055"/>
    </row>
    <row r="55" spans="1:42" ht="14.25" customHeight="1">
      <c r="O55" s="462"/>
      <c r="S55" s="1164"/>
      <c r="T55" s="2290"/>
      <c r="U55" s="2290"/>
      <c r="V55" s="2290"/>
      <c r="W55" s="2290"/>
      <c r="X55" s="2290"/>
      <c r="Y55" s="2290"/>
      <c r="Z55" s="2290"/>
      <c r="AA55" s="2290"/>
      <c r="AB55" s="2290"/>
      <c r="AC55" s="2290"/>
      <c r="AD55" s="2290"/>
      <c r="AE55" s="2290"/>
      <c r="AF55" s="2290"/>
      <c r="AG55" s="2290"/>
      <c r="AH55" s="2290"/>
      <c r="AI55" s="2290"/>
      <c r="AJ55" s="2290"/>
      <c r="AK55" s="2290"/>
    </row>
    <row r="56" spans="1:42" ht="14.25" customHeight="1">
      <c r="O56" s="462"/>
    </row>
    <row r="57" spans="1:42" ht="14.25" customHeight="1">
      <c r="O57" s="462"/>
      <c r="S57" s="1164"/>
      <c r="T57" s="2290"/>
      <c r="U57" s="2290"/>
      <c r="V57" s="2290"/>
      <c r="W57" s="2290"/>
      <c r="X57" s="2290"/>
      <c r="Y57" s="2290"/>
      <c r="Z57" s="2290"/>
      <c r="AA57" s="2290"/>
      <c r="AB57" s="2290"/>
      <c r="AC57" s="2290"/>
      <c r="AD57" s="2290"/>
      <c r="AE57" s="2290"/>
      <c r="AF57" s="2290"/>
      <c r="AG57" s="2290"/>
      <c r="AH57" s="2290"/>
      <c r="AI57" s="2290"/>
      <c r="AJ57" s="2290"/>
      <c r="AK57" s="229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A6D54-AB13-C071-3C3A-F1A4D21E76D4}">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931" hidden="1" customWidth="1"/>
    <col min="2" max="2" width="11" style="1931" hidden="1" customWidth="1"/>
    <col min="3" max="3" width="10.5703125" style="1931" hidden="1"/>
    <col min="4" max="4" width="12.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2" style="1931" hidden="1" customWidth="1"/>
    <col min="10" max="10" width="9.85546875" style="1931" hidden="1" customWidth="1"/>
    <col min="11" max="11" width="11.42578125" style="1931" hidden="1" customWidth="1"/>
    <col min="12" max="12" width="19.140625" style="2007" hidden="1" customWidth="1"/>
    <col min="13" max="14" width="12.28515625" style="1933" hidden="1" customWidth="1"/>
    <col min="15" max="15" width="23.42578125" style="1933" hidden="1" customWidth="1"/>
    <col min="16" max="16" width="3.7109375" style="1933" hidden="1" customWidth="1"/>
    <col min="17" max="17" width="3.7109375" style="1934" hidden="1" customWidth="1"/>
    <col min="18" max="18" width="3.7109375" style="1939" customWidth="1"/>
    <col min="19" max="19" width="12.7109375" style="1940" customWidth="1"/>
    <col min="20" max="20" width="32" style="1905" customWidth="1"/>
    <col min="21" max="21" width="0.140625" style="1905" customWidth="1"/>
    <col min="22" max="25" width="21.7109375" style="1905" hidden="1" customWidth="1"/>
    <col min="26" max="26" width="11.7109375" style="1905" hidden="1" customWidth="1"/>
    <col min="27" max="27" width="3.7109375" style="1905" hidden="1" customWidth="1"/>
    <col min="28" max="28" width="11.7109375" style="1905" hidden="1" customWidth="1"/>
    <col min="29" max="29" width="8.5703125" style="1905" hidden="1" customWidth="1"/>
    <col min="30" max="32" width="3.7109375" style="1905" customWidth="1"/>
    <col min="33" max="33" width="24.7109375" style="1905" customWidth="1"/>
    <col min="34" max="36" width="3.7109375" style="1905" customWidth="1"/>
    <col min="37" max="37" width="24.7109375" style="1905" customWidth="1"/>
    <col min="38" max="40" width="3.7109375" style="1905" customWidth="1"/>
    <col min="41" max="41" width="18.85546875" style="1905" customWidth="1"/>
    <col min="42" max="44" width="3.7109375" style="1905" customWidth="1"/>
    <col min="45" max="45" width="18.85546875" style="1905" customWidth="1"/>
    <col min="46" max="49" width="21.7109375" style="1905" customWidth="1"/>
    <col min="50" max="50" width="11.7109375" style="1905" customWidth="1"/>
    <col min="51" max="51" width="3.7109375" style="1905" customWidth="1"/>
    <col min="52" max="52" width="11.7109375" style="1905" customWidth="1"/>
    <col min="53" max="53" width="8.5703125" style="1905" hidden="1" customWidth="1"/>
    <col min="54" max="54" width="4.7109375" style="1905" customWidth="1"/>
    <col min="55" max="55" width="115.7109375" style="1905" customWidth="1"/>
    <col min="56" max="57" width="10.5703125" style="1820"/>
    <col min="58" max="58" width="11.140625" style="1820" customWidth="1"/>
    <col min="59" max="60" width="10.5703125" style="1820"/>
  </cols>
  <sheetData>
    <row r="1" spans="1:60" ht="14.25" hidden="1" customHeight="1">
      <c r="W1" s="253"/>
      <c r="Y1" s="253"/>
      <c r="Z1" s="253"/>
      <c r="AW1" s="253"/>
      <c r="AX1" s="253"/>
    </row>
    <row r="2" spans="1:60" ht="21" hidden="1" customHeight="1">
      <c r="A2" s="1279"/>
      <c r="B2" s="1279"/>
      <c r="C2" s="1279"/>
      <c r="D2" s="1279"/>
      <c r="E2" s="2270">
        <v>1</v>
      </c>
      <c r="F2" s="1279"/>
      <c r="G2" s="1279"/>
      <c r="H2" s="1279"/>
      <c r="I2" s="1279"/>
      <c r="J2" s="1279"/>
      <c r="K2" s="1279"/>
      <c r="L2" s="1280"/>
      <c r="M2" s="1281"/>
      <c r="N2" s="1281"/>
      <c r="O2" s="1281"/>
      <c r="P2" s="1325"/>
      <c r="Q2" s="786"/>
      <c r="R2" s="280"/>
      <c r="S2" s="1377" t="e">
        <f>INDEX(PT_DIFFERENTIATION_NUM_NTAR,MATCH(A2,PT_DIFFERENTIATION_NTAR_ID,0))</f>
        <v>#N/A</v>
      </c>
      <c r="T2" s="216" t="s">
        <v>122</v>
      </c>
      <c r="U2" s="218"/>
      <c r="V2" s="2257"/>
      <c r="W2" s="2257"/>
      <c r="X2" s="2257"/>
      <c r="Y2" s="2257"/>
      <c r="Z2" s="2257"/>
      <c r="AA2" s="2257"/>
      <c r="AB2" s="2257"/>
      <c r="AC2" s="2258"/>
      <c r="AD2" s="2256" t="e">
        <f>INDEX(PT_DIFFERENTIATION_NTAR,MATCH(A2,PT_DIFFERENTIATION_NTAR_ID,0))</f>
        <v>#N/A</v>
      </c>
      <c r="AE2" s="2257"/>
      <c r="AF2" s="2257"/>
      <c r="AG2" s="2257"/>
      <c r="AH2" s="2257"/>
      <c r="AI2" s="2257"/>
      <c r="AJ2" s="2257"/>
      <c r="AK2" s="2257"/>
      <c r="AL2" s="2257"/>
      <c r="AM2" s="2257"/>
      <c r="AN2" s="2257"/>
      <c r="AO2" s="2257"/>
      <c r="AP2" s="2257"/>
      <c r="AQ2" s="2257"/>
      <c r="AR2" s="2257"/>
      <c r="AS2" s="2257"/>
      <c r="AT2" s="2257"/>
      <c r="AU2" s="2257"/>
      <c r="AV2" s="2257"/>
      <c r="AW2" s="2257"/>
      <c r="AX2" s="2257"/>
      <c r="AY2" s="2257"/>
      <c r="AZ2" s="2257"/>
      <c r="BA2" s="2257"/>
      <c r="BB2" s="2258"/>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6"/>
      <c r="BF2" s="426" t="str">
        <f t="shared" ref="BF2:BF8" si="0">IF(T2="","",T2)</f>
        <v>Наименование тарифа</v>
      </c>
      <c r="BG2" s="426"/>
      <c r="BH2" s="426"/>
    </row>
    <row r="3" spans="1:60" ht="21" hidden="1" customHeight="1">
      <c r="A3" s="1279"/>
      <c r="B3" s="1279"/>
      <c r="C3" s="1279"/>
      <c r="D3" s="1279"/>
      <c r="E3" s="2271"/>
      <c r="F3" s="2270">
        <v>1</v>
      </c>
      <c r="G3" s="1279"/>
      <c r="H3" s="1279"/>
      <c r="I3" s="1279"/>
      <c r="J3" s="1279"/>
      <c r="K3" s="1279"/>
      <c r="L3" s="1280"/>
      <c r="M3" s="1281"/>
      <c r="N3" s="1281"/>
      <c r="O3" s="1281"/>
      <c r="P3" s="1326"/>
      <c r="Q3" s="1327"/>
      <c r="R3" s="278"/>
      <c r="S3" s="1377" t="e">
        <f>INDEX(PT_DIFFERENTIATION_NUM_TER,MATCH(B3,PT_DIFFERENTIATION_TER_ID,0))</f>
        <v>#N/A</v>
      </c>
      <c r="T3" s="228" t="s">
        <v>388</v>
      </c>
      <c r="U3" s="218"/>
      <c r="V3" s="2257"/>
      <c r="W3" s="2257"/>
      <c r="X3" s="2257"/>
      <c r="Y3" s="2257"/>
      <c r="Z3" s="2257"/>
      <c r="AA3" s="2257"/>
      <c r="AB3" s="2257"/>
      <c r="AC3" s="2258"/>
      <c r="AD3" s="2256" t="e">
        <f>INDEX(PT_DIFFERENTIATION_TER,MATCH(B3,PT_DIFFERENTIATION_TER_ID,0))</f>
        <v>#N/A</v>
      </c>
      <c r="AE3" s="2257"/>
      <c r="AF3" s="2257"/>
      <c r="AG3" s="2257"/>
      <c r="AH3" s="2257"/>
      <c r="AI3" s="2257"/>
      <c r="AJ3" s="2257"/>
      <c r="AK3" s="2257"/>
      <c r="AL3" s="2257"/>
      <c r="AM3" s="2257"/>
      <c r="AN3" s="2257"/>
      <c r="AO3" s="2257"/>
      <c r="AP3" s="2257"/>
      <c r="AQ3" s="2257"/>
      <c r="AR3" s="2257"/>
      <c r="AS3" s="2257"/>
      <c r="AT3" s="2257"/>
      <c r="AU3" s="2257"/>
      <c r="AV3" s="2257"/>
      <c r="AW3" s="2257"/>
      <c r="AX3" s="2257"/>
      <c r="AY3" s="2257"/>
      <c r="AZ3" s="2257"/>
      <c r="BA3" s="2257"/>
      <c r="BB3" s="2258"/>
      <c r="BC3" s="1177" t="s">
        <v>389</v>
      </c>
      <c r="BE3" s="426"/>
      <c r="BF3" s="426" t="str">
        <f t="shared" si="0"/>
        <v>Территория действия тарифа</v>
      </c>
      <c r="BG3" s="426"/>
      <c r="BH3" s="426"/>
    </row>
    <row r="4" spans="1:60" ht="42" hidden="1" customHeight="1">
      <c r="A4" s="1279"/>
      <c r="B4" s="1279"/>
      <c r="C4" s="1279"/>
      <c r="D4" s="1279"/>
      <c r="E4" s="2271"/>
      <c r="F4" s="2271"/>
      <c r="G4" s="2270">
        <v>1</v>
      </c>
      <c r="H4" s="1279"/>
      <c r="I4" s="1279"/>
      <c r="J4" s="1279"/>
      <c r="K4" s="1279"/>
      <c r="L4" s="1280"/>
      <c r="M4" s="1281"/>
      <c r="N4" s="1281"/>
      <c r="O4" s="1281"/>
      <c r="P4" s="1328"/>
      <c r="Q4" s="1327"/>
      <c r="R4" s="278"/>
      <c r="S4" s="1377" t="e">
        <f>INDEX(PT_DIFFERENTIATION_NUM_CS,MATCH(C4,PT_DIFFERENTIATION_CS_ID,0))</f>
        <v>#N/A</v>
      </c>
      <c r="T4" s="229" t="s">
        <v>469</v>
      </c>
      <c r="U4" s="218"/>
      <c r="V4" s="2257"/>
      <c r="W4" s="2257"/>
      <c r="X4" s="2257"/>
      <c r="Y4" s="2257"/>
      <c r="Z4" s="2257"/>
      <c r="AA4" s="2257"/>
      <c r="AB4" s="2257"/>
      <c r="AC4" s="2258"/>
      <c r="AD4" s="2256" t="e">
        <f>INDEX(PT_DIFFERENTIATION_CS,MATCH(C4,PT_DIFFERENTIATION_CS_ID,0))</f>
        <v>#N/A</v>
      </c>
      <c r="AE4" s="2257"/>
      <c r="AF4" s="2257"/>
      <c r="AG4" s="2257"/>
      <c r="AH4" s="2257"/>
      <c r="AI4" s="2257"/>
      <c r="AJ4" s="2257"/>
      <c r="AK4" s="2257"/>
      <c r="AL4" s="2257"/>
      <c r="AM4" s="2257"/>
      <c r="AN4" s="2257"/>
      <c r="AO4" s="2257"/>
      <c r="AP4" s="2257"/>
      <c r="AQ4" s="2257"/>
      <c r="AR4" s="2257"/>
      <c r="AS4" s="2257"/>
      <c r="AT4" s="2257"/>
      <c r="AU4" s="2257"/>
      <c r="AV4" s="2257"/>
      <c r="AW4" s="2257"/>
      <c r="AX4" s="2257"/>
      <c r="AY4" s="2257"/>
      <c r="AZ4" s="2257"/>
      <c r="BA4" s="2257"/>
      <c r="BB4" s="2258"/>
      <c r="BC4" s="1177" t="s">
        <v>470</v>
      </c>
      <c r="BE4" s="426"/>
      <c r="BF4" s="426" t="str">
        <f t="shared" si="0"/>
        <v>Наименование централизованной системы холодного водоснабжения</v>
      </c>
      <c r="BG4" s="426"/>
      <c r="BH4" s="426"/>
    </row>
    <row r="5" spans="1:60" s="1820" customFormat="1" ht="14.25" hidden="1" customHeight="1">
      <c r="A5" s="1260"/>
      <c r="B5" s="1260"/>
      <c r="C5" s="1260"/>
      <c r="D5" s="1260"/>
      <c r="E5" s="2271"/>
      <c r="F5" s="2271"/>
      <c r="G5" s="2271"/>
      <c r="H5" s="2270">
        <v>1</v>
      </c>
      <c r="I5" s="1260"/>
      <c r="J5" s="1260"/>
      <c r="K5" s="1260"/>
      <c r="L5" s="1263"/>
      <c r="M5" s="1233"/>
      <c r="N5" s="1233"/>
      <c r="O5" s="1233"/>
      <c r="P5" s="1407"/>
      <c r="Q5" s="1408"/>
      <c r="R5" s="282"/>
      <c r="S5" s="949"/>
      <c r="T5" s="1409"/>
      <c r="U5" s="1300"/>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01" t="s">
        <v>393</v>
      </c>
      <c r="BE5" s="426"/>
      <c r="BF5" s="426" t="str">
        <f t="shared" si="0"/>
        <v/>
      </c>
      <c r="BG5" s="426"/>
      <c r="BH5" s="426"/>
    </row>
    <row r="6" spans="1:60" s="1820" customFormat="1" ht="14.25" hidden="1" customHeight="1">
      <c r="A6" s="1260"/>
      <c r="B6" s="1260"/>
      <c r="C6" s="1260"/>
      <c r="D6" s="1260"/>
      <c r="E6" s="2271"/>
      <c r="F6" s="2271"/>
      <c r="G6" s="2271"/>
      <c r="H6" s="2271"/>
      <c r="I6" s="2268" t="str">
        <f>S5&amp;".1"</f>
        <v>.1</v>
      </c>
      <c r="J6" s="1260"/>
      <c r="K6" s="1260"/>
      <c r="L6" s="1263" t="s">
        <v>394</v>
      </c>
      <c r="M6" s="436"/>
      <c r="N6" s="436"/>
      <c r="O6" s="436"/>
      <c r="P6" s="2269">
        <v>1</v>
      </c>
      <c r="Q6" s="1374"/>
      <c r="R6" s="281"/>
      <c r="S6" s="949"/>
      <c r="T6" s="1299"/>
      <c r="U6" s="1300"/>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01"/>
      <c r="BE6" s="426"/>
      <c r="BF6" s="426" t="str">
        <f t="shared" si="0"/>
        <v/>
      </c>
      <c r="BG6" s="426"/>
      <c r="BH6" s="426"/>
    </row>
    <row r="7" spans="1:60" s="1820" customFormat="1" ht="14.25" hidden="1" customHeight="1">
      <c r="A7" s="1260"/>
      <c r="B7" s="1260"/>
      <c r="C7" s="1260"/>
      <c r="D7" s="1260"/>
      <c r="E7" s="2271"/>
      <c r="F7" s="2271"/>
      <c r="G7" s="2271"/>
      <c r="H7" s="2271"/>
      <c r="I7" s="2291"/>
      <c r="J7" s="2268" t="str">
        <f>S5&amp;".1"</f>
        <v>.1</v>
      </c>
      <c r="K7" s="1260"/>
      <c r="L7" s="1263"/>
      <c r="M7" s="436"/>
      <c r="N7" s="436"/>
      <c r="O7" s="436"/>
      <c r="P7" s="2269"/>
      <c r="Q7" s="2269">
        <v>1</v>
      </c>
      <c r="R7" s="282"/>
      <c r="S7" s="949"/>
      <c r="T7" s="1315"/>
      <c r="U7" s="1300"/>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01"/>
      <c r="BE7" s="426"/>
      <c r="BF7" s="426" t="str">
        <f t="shared" si="0"/>
        <v/>
      </c>
      <c r="BG7" s="426"/>
      <c r="BH7" s="426"/>
    </row>
    <row r="8" spans="1:60" ht="11.25" hidden="1" customHeight="1">
      <c r="A8" s="1279"/>
      <c r="B8" s="1279"/>
      <c r="C8" s="1279"/>
      <c r="D8" s="1279"/>
      <c r="E8" s="2271"/>
      <c r="F8" s="2271"/>
      <c r="G8" s="2271"/>
      <c r="H8" s="2271"/>
      <c r="I8" s="2291"/>
      <c r="J8" s="2291"/>
      <c r="K8" s="2268" t="e">
        <f>S4&amp;".1"</f>
        <v>#N/A</v>
      </c>
      <c r="L8" s="1280"/>
      <c r="P8" s="2269"/>
      <c r="Q8" s="2269"/>
      <c r="R8" s="2326">
        <v>1</v>
      </c>
      <c r="S8" s="2320" t="e">
        <f>$K8</f>
        <v>#N/A</v>
      </c>
      <c r="T8" s="2338"/>
      <c r="U8" s="218"/>
      <c r="V8" s="668"/>
      <c r="W8" s="1176"/>
      <c r="X8" s="668"/>
      <c r="Y8" s="1176"/>
      <c r="Z8" s="1644"/>
      <c r="AA8" s="1372" t="s">
        <v>61</v>
      </c>
      <c r="AB8" s="1644"/>
      <c r="AC8" s="1372" t="s">
        <v>61</v>
      </c>
      <c r="AD8" s="2195" t="s">
        <v>61</v>
      </c>
      <c r="AE8" s="2306"/>
      <c r="AF8" s="2224">
        <v>1</v>
      </c>
      <c r="AG8" s="2342"/>
      <c r="AH8" s="2124" t="s">
        <v>61</v>
      </c>
      <c r="AI8" s="2306"/>
      <c r="AJ8" s="2224">
        <v>1</v>
      </c>
      <c r="AK8" s="2341" t="s">
        <v>24</v>
      </c>
      <c r="AL8" s="2124" t="s">
        <v>61</v>
      </c>
      <c r="AM8" s="2214"/>
      <c r="AN8" s="2224">
        <v>1</v>
      </c>
      <c r="AO8" s="2335"/>
      <c r="AP8" s="2336" t="s">
        <v>61</v>
      </c>
      <c r="AQ8" s="231"/>
      <c r="AR8" s="1375">
        <v>1</v>
      </c>
      <c r="AS8" s="1378" t="s">
        <v>24</v>
      </c>
      <c r="AT8" s="668"/>
      <c r="AU8" s="1176"/>
      <c r="AV8" s="668"/>
      <c r="AW8" s="1176"/>
      <c r="AX8" s="1644"/>
      <c r="AY8" s="1372" t="s">
        <v>61</v>
      </c>
      <c r="AZ8" s="1644"/>
      <c r="BA8" s="1372" t="s">
        <v>61</v>
      </c>
      <c r="BB8" s="1265"/>
      <c r="BC8" s="2265" t="s">
        <v>491</v>
      </c>
      <c r="BE8" s="426"/>
      <c r="BF8" s="426" t="str">
        <f t="shared" si="0"/>
        <v/>
      </c>
      <c r="BG8" s="426"/>
      <c r="BH8" s="426"/>
    </row>
    <row r="9" spans="1:60" ht="11.25" hidden="1" customHeight="1">
      <c r="A9" s="1279"/>
      <c r="B9" s="1279"/>
      <c r="C9" s="1279"/>
      <c r="D9" s="1279"/>
      <c r="E9" s="2271"/>
      <c r="F9" s="2271"/>
      <c r="G9" s="2271"/>
      <c r="H9" s="2271"/>
      <c r="I9" s="2291"/>
      <c r="J9" s="2291"/>
      <c r="K9" s="2268"/>
      <c r="L9" s="1280"/>
      <c r="P9" s="2269"/>
      <c r="Q9" s="2269"/>
      <c r="R9" s="2326"/>
      <c r="S9" s="2321"/>
      <c r="T9" s="2339"/>
      <c r="U9" s="218"/>
      <c r="V9" s="1309"/>
      <c r="W9" s="1406"/>
      <c r="X9" s="1309"/>
      <c r="Y9" s="1406"/>
      <c r="Z9" s="1309"/>
      <c r="AA9" s="1309"/>
      <c r="AB9" s="1309"/>
      <c r="AC9" s="1309"/>
      <c r="AD9" s="2196"/>
      <c r="AE9" s="2306"/>
      <c r="AF9" s="2224"/>
      <c r="AG9" s="2342"/>
      <c r="AH9" s="2124"/>
      <c r="AI9" s="2306"/>
      <c r="AJ9" s="2224"/>
      <c r="AK9" s="2341"/>
      <c r="AL9" s="2124"/>
      <c r="AM9" s="2219"/>
      <c r="AN9" s="2224"/>
      <c r="AO9" s="2335"/>
      <c r="AP9" s="2337"/>
      <c r="AQ9" s="238"/>
      <c r="AR9" s="350"/>
      <c r="AS9" s="350" t="s">
        <v>492</v>
      </c>
      <c r="AT9" s="1309"/>
      <c r="AU9" s="1406"/>
      <c r="AV9" s="1309"/>
      <c r="AW9" s="1406"/>
      <c r="AX9" s="1309"/>
      <c r="AY9" s="1309"/>
      <c r="AZ9" s="1309"/>
      <c r="BA9" s="1309"/>
      <c r="BB9" s="1313"/>
      <c r="BC9" s="2266"/>
      <c r="BE9" s="426"/>
      <c r="BF9" s="426"/>
      <c r="BG9" s="426"/>
      <c r="BH9" s="426"/>
    </row>
    <row r="10" spans="1:60" ht="11.25" hidden="1" customHeight="1">
      <c r="A10" s="1279"/>
      <c r="B10" s="1279"/>
      <c r="C10" s="1279"/>
      <c r="D10" s="1279"/>
      <c r="E10" s="2271"/>
      <c r="F10" s="2271"/>
      <c r="G10" s="2271"/>
      <c r="H10" s="2271"/>
      <c r="I10" s="2291"/>
      <c r="J10" s="2291"/>
      <c r="K10" s="2268"/>
      <c r="L10" s="1280"/>
      <c r="P10" s="2269"/>
      <c r="Q10" s="2269"/>
      <c r="R10" s="2326"/>
      <c r="S10" s="2321"/>
      <c r="T10" s="2339"/>
      <c r="U10" s="218"/>
      <c r="V10" s="1309"/>
      <c r="W10" s="1406"/>
      <c r="X10" s="1309"/>
      <c r="Y10" s="1406"/>
      <c r="Z10" s="1309"/>
      <c r="AA10" s="1309"/>
      <c r="AB10" s="1309"/>
      <c r="AC10" s="1309"/>
      <c r="AD10" s="2196"/>
      <c r="AE10" s="2306"/>
      <c r="AF10" s="2224"/>
      <c r="AG10" s="2342"/>
      <c r="AH10" s="2124"/>
      <c r="AI10" s="2306"/>
      <c r="AJ10" s="2224"/>
      <c r="AK10" s="2341"/>
      <c r="AL10" s="2124"/>
      <c r="AM10" s="238"/>
      <c r="AN10" s="1410"/>
      <c r="AO10" s="1410" t="s">
        <v>493</v>
      </c>
      <c r="AP10" s="350"/>
      <c r="AQ10" s="350"/>
      <c r="AR10" s="350"/>
      <c r="AS10" s="1309"/>
      <c r="AT10" s="1309"/>
      <c r="AU10" s="1406"/>
      <c r="AV10" s="1309"/>
      <c r="AW10" s="1406"/>
      <c r="AX10" s="1309"/>
      <c r="AY10" s="1309"/>
      <c r="AZ10" s="1309"/>
      <c r="BA10" s="1309"/>
      <c r="BB10" s="1313"/>
      <c r="BC10" s="2266"/>
      <c r="BE10" s="426"/>
      <c r="BF10" s="426"/>
      <c r="BG10" s="426"/>
      <c r="BH10" s="426"/>
    </row>
    <row r="11" spans="1:60" ht="11.25" hidden="1" customHeight="1">
      <c r="A11" s="1279"/>
      <c r="B11" s="1279"/>
      <c r="C11" s="1279"/>
      <c r="D11" s="1279"/>
      <c r="E11" s="2271"/>
      <c r="F11" s="2271"/>
      <c r="G11" s="2271"/>
      <c r="H11" s="2271"/>
      <c r="I11" s="2291"/>
      <c r="J11" s="2291"/>
      <c r="K11" s="2268"/>
      <c r="L11" s="1280"/>
      <c r="P11" s="2269"/>
      <c r="Q11" s="2269"/>
      <c r="R11" s="2326"/>
      <c r="S11" s="2321"/>
      <c r="T11" s="2339"/>
      <c r="U11" s="218"/>
      <c r="V11" s="1309"/>
      <c r="W11" s="1406"/>
      <c r="X11" s="1309"/>
      <c r="Y11" s="1406"/>
      <c r="Z11" s="1309"/>
      <c r="AA11" s="1309"/>
      <c r="AB11" s="1309"/>
      <c r="AC11" s="1309"/>
      <c r="AD11" s="2196"/>
      <c r="AE11" s="2306"/>
      <c r="AF11" s="2224"/>
      <c r="AG11" s="2342"/>
      <c r="AH11" s="2124"/>
      <c r="AI11" s="212"/>
      <c r="AJ11" s="349"/>
      <c r="AK11" s="233" t="s">
        <v>494</v>
      </c>
      <c r="AL11" s="1309"/>
      <c r="AM11" s="1309"/>
      <c r="AN11" s="1309"/>
      <c r="AO11" s="1309"/>
      <c r="AP11" s="1309"/>
      <c r="AQ11" s="1309"/>
      <c r="AR11" s="1309"/>
      <c r="AS11" s="1309"/>
      <c r="AT11" s="1309"/>
      <c r="AU11" s="1406"/>
      <c r="AV11" s="1309"/>
      <c r="AW11" s="1406"/>
      <c r="AX11" s="1309"/>
      <c r="AY11" s="1309"/>
      <c r="AZ11" s="1309"/>
      <c r="BA11" s="1309"/>
      <c r="BB11" s="1313"/>
      <c r="BC11" s="2266"/>
      <c r="BE11" s="426"/>
      <c r="BF11" s="426"/>
      <c r="BG11" s="426"/>
      <c r="BH11" s="426"/>
    </row>
    <row r="12" spans="1:60" ht="11.25" hidden="1" customHeight="1">
      <c r="A12" s="1279"/>
      <c r="B12" s="1279"/>
      <c r="C12" s="1279"/>
      <c r="D12" s="1279"/>
      <c r="E12" s="2271"/>
      <c r="F12" s="2271"/>
      <c r="G12" s="2271"/>
      <c r="H12" s="2271"/>
      <c r="I12" s="2291"/>
      <c r="J12" s="2291"/>
      <c r="K12" s="2268"/>
      <c r="L12" s="1280"/>
      <c r="P12" s="2269"/>
      <c r="Q12" s="2269"/>
      <c r="R12" s="2326"/>
      <c r="S12" s="2322"/>
      <c r="T12" s="2340"/>
      <c r="U12" s="218"/>
      <c r="V12" s="1309"/>
      <c r="W12" s="1310" t="str">
        <f>Z8&amp;"-"&amp;AB8</f>
        <v>-</v>
      </c>
      <c r="X12" s="1309"/>
      <c r="Y12" s="1310" t="str">
        <f>AB8&amp;"-"&amp;AD8</f>
        <v>-да</v>
      </c>
      <c r="Z12" s="1309"/>
      <c r="AA12" s="1309"/>
      <c r="AB12" s="1309"/>
      <c r="AC12" s="1309"/>
      <c r="AD12" s="2129"/>
      <c r="AE12" s="232"/>
      <c r="AF12" s="234"/>
      <c r="AG12" s="350" t="s">
        <v>495</v>
      </c>
      <c r="AH12" s="1309"/>
      <c r="AI12" s="1309"/>
      <c r="AJ12" s="1309"/>
      <c r="AK12" s="1309"/>
      <c r="AL12" s="1309"/>
      <c r="AM12" s="1309"/>
      <c r="AN12" s="1309"/>
      <c r="AO12" s="1309"/>
      <c r="AP12" s="1309"/>
      <c r="AQ12" s="1309"/>
      <c r="AR12" s="1309"/>
      <c r="AS12" s="1309"/>
      <c r="AT12" s="1309"/>
      <c r="AU12" s="1310" t="str">
        <f>AX8&amp;"-"&amp;AZ8</f>
        <v>-</v>
      </c>
      <c r="AV12" s="1309"/>
      <c r="AW12" s="1310" t="str">
        <f>AZ8&amp;"-"&amp;BB8</f>
        <v>-</v>
      </c>
      <c r="AX12" s="1309"/>
      <c r="AY12" s="1309"/>
      <c r="AZ12" s="1309"/>
      <c r="BA12" s="1309"/>
      <c r="BB12" s="1312" t="str">
        <f>BE8&amp;"-"&amp;BG8</f>
        <v>-</v>
      </c>
      <c r="BC12" s="2266"/>
      <c r="BE12" s="426"/>
      <c r="BF12" s="426" t="str">
        <f t="shared" ref="BF12:BF18" si="1">IF(T12="","",T12)</f>
        <v/>
      </c>
      <c r="BG12" s="426"/>
      <c r="BH12" s="426"/>
    </row>
    <row r="13" spans="1:60" ht="11.25" hidden="1" customHeight="1">
      <c r="A13" s="1279"/>
      <c r="B13" s="1279"/>
      <c r="C13" s="1279"/>
      <c r="D13" s="1279"/>
      <c r="E13" s="2271"/>
      <c r="F13" s="2271"/>
      <c r="G13" s="2271"/>
      <c r="H13" s="2271"/>
      <c r="I13" s="2291"/>
      <c r="J13" s="2268"/>
      <c r="K13" s="1279"/>
      <c r="L13" s="1280"/>
      <c r="P13" s="2269"/>
      <c r="Q13" s="2269"/>
      <c r="R13" s="281"/>
      <c r="S13" s="1198"/>
      <c r="T13" s="205" t="s">
        <v>455</v>
      </c>
      <c r="U13" s="295"/>
      <c r="V13" s="295"/>
      <c r="W13" s="295"/>
      <c r="X13" s="295"/>
      <c r="Y13" s="295"/>
      <c r="Z13" s="295"/>
      <c r="AA13" s="295"/>
      <c r="AB13" s="295"/>
      <c r="AC13" s="295"/>
      <c r="AD13" s="1415"/>
      <c r="AE13" s="295"/>
      <c r="AF13" s="295"/>
      <c r="AG13" s="295"/>
      <c r="AH13" s="295"/>
      <c r="AI13" s="295"/>
      <c r="AJ13" s="295"/>
      <c r="AK13" s="295"/>
      <c r="AL13" s="295"/>
      <c r="AM13" s="295"/>
      <c r="AN13" s="295"/>
      <c r="AO13" s="295"/>
      <c r="AP13" s="295"/>
      <c r="AQ13" s="295"/>
      <c r="AR13" s="295"/>
      <c r="AS13" s="295"/>
      <c r="AT13" s="295"/>
      <c r="AU13" s="295"/>
      <c r="AV13" s="295"/>
      <c r="AW13" s="295"/>
      <c r="AX13" s="295"/>
      <c r="AY13" s="295"/>
      <c r="AZ13" s="295"/>
      <c r="BA13" s="295"/>
      <c r="BB13" s="249"/>
      <c r="BC13" s="2267"/>
      <c r="BE13" s="426"/>
      <c r="BF13" s="426" t="str">
        <f t="shared" si="1"/>
        <v>Добавить строку</v>
      </c>
      <c r="BG13" s="426"/>
      <c r="BH13" s="426"/>
    </row>
    <row r="14" spans="1:60" s="1820" customFormat="1" ht="14.25" hidden="1" customHeight="1">
      <c r="A14" s="1260"/>
      <c r="B14" s="1260"/>
      <c r="C14" s="1260"/>
      <c r="D14" s="1260"/>
      <c r="E14" s="2271"/>
      <c r="F14" s="2271"/>
      <c r="G14" s="2271"/>
      <c r="H14" s="2271"/>
      <c r="I14" s="2268"/>
      <c r="J14" s="1260"/>
      <c r="K14" s="1260"/>
      <c r="L14" s="1263"/>
      <c r="M14" s="436"/>
      <c r="N14" s="436"/>
      <c r="O14" s="436"/>
      <c r="P14" s="2269"/>
      <c r="Q14" s="1374"/>
      <c r="R14" s="281"/>
      <c r="S14" s="1302"/>
      <c r="T14" s="1303"/>
      <c r="U14" s="1304"/>
      <c r="V14" s="1304"/>
      <c r="W14" s="1304"/>
      <c r="X14" s="1304"/>
      <c r="Y14" s="1304"/>
      <c r="Z14" s="1304"/>
      <c r="AA14" s="1304"/>
      <c r="AB14" s="1304"/>
      <c r="AC14" s="1304"/>
      <c r="AD14" s="1304"/>
      <c r="AE14" s="1304"/>
      <c r="AF14" s="1304"/>
      <c r="AG14" s="1304"/>
      <c r="AH14" s="1304"/>
      <c r="AI14" s="1304"/>
      <c r="AJ14" s="1304"/>
      <c r="AK14" s="1304"/>
      <c r="AL14" s="1304"/>
      <c r="AM14" s="1304"/>
      <c r="AN14" s="1304"/>
      <c r="AO14" s="1304"/>
      <c r="AP14" s="1304"/>
      <c r="AQ14" s="1304"/>
      <c r="AR14" s="1304"/>
      <c r="AS14" s="1304"/>
      <c r="AT14" s="1304"/>
      <c r="AU14" s="1304"/>
      <c r="AV14" s="1304"/>
      <c r="AW14" s="1304"/>
      <c r="AX14" s="1304"/>
      <c r="AY14" s="1304"/>
      <c r="AZ14" s="1304"/>
      <c r="BA14" s="1304"/>
      <c r="BB14" s="1304"/>
      <c r="BC14" s="1305"/>
      <c r="BE14" s="426"/>
      <c r="BF14" s="426" t="str">
        <f t="shared" si="1"/>
        <v/>
      </c>
      <c r="BG14" s="426"/>
      <c r="BH14" s="426"/>
    </row>
    <row r="15" spans="1:60" s="1820" customFormat="1" ht="14.25" hidden="1" customHeight="1">
      <c r="A15" s="1260"/>
      <c r="B15" s="1260"/>
      <c r="C15" s="1260"/>
      <c r="D15" s="1260"/>
      <c r="E15" s="2271"/>
      <c r="F15" s="2271"/>
      <c r="G15" s="2271"/>
      <c r="H15" s="2270"/>
      <c r="I15" s="1260"/>
      <c r="J15" s="1260"/>
      <c r="K15" s="1260"/>
      <c r="L15" s="1263"/>
      <c r="M15" s="1233"/>
      <c r="N15" s="1233"/>
      <c r="O15" s="444"/>
      <c r="P15" s="313"/>
      <c r="Q15" s="1261"/>
      <c r="R15" s="1317"/>
      <c r="S15" s="1302"/>
      <c r="T15" s="1303"/>
      <c r="U15" s="1304"/>
      <c r="V15" s="1304"/>
      <c r="W15" s="1304"/>
      <c r="X15" s="1304"/>
      <c r="Y15" s="1304"/>
      <c r="Z15" s="1304"/>
      <c r="AA15" s="1304"/>
      <c r="AB15" s="1304"/>
      <c r="AC15" s="1304"/>
      <c r="AD15" s="1304"/>
      <c r="AE15" s="1304"/>
      <c r="AF15" s="1304"/>
      <c r="AG15" s="1304"/>
      <c r="AH15" s="1304"/>
      <c r="AI15" s="1304"/>
      <c r="AJ15" s="1304"/>
      <c r="AK15" s="1304"/>
      <c r="AL15" s="1304"/>
      <c r="AM15" s="1304"/>
      <c r="AN15" s="1304"/>
      <c r="AO15" s="1304"/>
      <c r="AP15" s="1304"/>
      <c r="AQ15" s="1304"/>
      <c r="AR15" s="1304"/>
      <c r="AS15" s="1304"/>
      <c r="AT15" s="1304"/>
      <c r="AU15" s="1304"/>
      <c r="AV15" s="1304"/>
      <c r="AW15" s="1304"/>
      <c r="AX15" s="1304"/>
      <c r="AY15" s="1304"/>
      <c r="AZ15" s="1304"/>
      <c r="BA15" s="1304"/>
      <c r="BB15" s="1304"/>
      <c r="BC15" s="1305"/>
      <c r="BE15" s="426"/>
      <c r="BF15" s="426" t="str">
        <f t="shared" si="1"/>
        <v/>
      </c>
      <c r="BG15" s="426"/>
      <c r="BH15" s="426"/>
    </row>
    <row r="16" spans="1:60" s="1930" customFormat="1" ht="14.25" hidden="1" customHeight="1">
      <c r="A16" s="1260"/>
      <c r="B16" s="1260"/>
      <c r="C16" s="1260"/>
      <c r="D16" s="1232"/>
      <c r="E16" s="2271"/>
      <c r="F16" s="2271"/>
      <c r="G16" s="2270"/>
      <c r="H16" s="1232"/>
      <c r="I16" s="1232"/>
      <c r="J16" s="1232"/>
      <c r="K16" s="1232"/>
      <c r="L16" s="1376"/>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06"/>
      <c r="BF16" s="706" t="str">
        <f t="shared" si="1"/>
        <v/>
      </c>
      <c r="BG16" s="706"/>
      <c r="BH16" s="706"/>
    </row>
    <row r="17" spans="1:60" s="1930" customFormat="1" ht="14.25" hidden="1" customHeight="1">
      <c r="A17" s="1260"/>
      <c r="B17" s="1260"/>
      <c r="C17" s="1232"/>
      <c r="D17" s="1232"/>
      <c r="E17" s="2271"/>
      <c r="F17" s="2270"/>
      <c r="G17" s="1232"/>
      <c r="H17" s="1232"/>
      <c r="I17" s="1232"/>
      <c r="J17" s="1232"/>
      <c r="K17" s="1232"/>
      <c r="L17" s="1376"/>
      <c r="M17" s="1239"/>
      <c r="N17" s="1239"/>
      <c r="P17" s="1234"/>
      <c r="Q17" s="1235"/>
      <c r="R17" s="1234"/>
      <c r="S17" s="1240"/>
      <c r="T17" s="1243" t="s">
        <v>215</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06"/>
      <c r="BF17" s="706" t="str">
        <f t="shared" si="1"/>
        <v>Добавить централизованную систему для дифференциации</v>
      </c>
      <c r="BG17" s="706"/>
      <c r="BH17" s="706"/>
    </row>
    <row r="18" spans="1:60" s="1820" customFormat="1" ht="14.25" hidden="1" customHeight="1">
      <c r="A18" s="1260"/>
      <c r="B18" s="1260"/>
      <c r="C18" s="1260"/>
      <c r="D18" s="1260"/>
      <c r="E18" s="2270"/>
      <c r="F18" s="1260"/>
      <c r="G18" s="1260"/>
      <c r="H18" s="1260"/>
      <c r="I18" s="1260"/>
      <c r="J18" s="1260"/>
      <c r="K18" s="1260"/>
      <c r="L18" s="1263"/>
      <c r="M18" s="1239"/>
      <c r="N18" s="1239"/>
      <c r="O18" s="444"/>
      <c r="P18" s="313"/>
      <c r="Q18" s="1261"/>
      <c r="R18" s="313"/>
      <c r="S18" s="1240"/>
      <c r="T18" s="1243" t="s">
        <v>216</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26"/>
      <c r="BF18" s="426" t="str">
        <f t="shared" si="1"/>
        <v>Добавить территорию для дифференциации</v>
      </c>
      <c r="BG18" s="426"/>
      <c r="BH18" s="426"/>
    </row>
    <row r="19" spans="1:60" ht="14.25" hidden="1" customHeight="1">
      <c r="AC19" s="253"/>
      <c r="BA19" s="253"/>
    </row>
    <row r="20" spans="1:60" ht="14.25" hidden="1" customHeight="1">
      <c r="AD20" s="1242" t="s">
        <v>56</v>
      </c>
      <c r="AE20" s="1411"/>
      <c r="AF20" s="473">
        <v>1</v>
      </c>
      <c r="AG20" s="1412"/>
      <c r="AH20" s="1242" t="s">
        <v>56</v>
      </c>
      <c r="AI20" s="1411"/>
      <c r="AJ20" s="473">
        <v>1</v>
      </c>
      <c r="AK20" s="1412"/>
      <c r="AL20" s="1242" t="s">
        <v>56</v>
      </c>
      <c r="AM20" s="1413"/>
      <c r="AN20" s="473">
        <v>1</v>
      </c>
      <c r="AO20" s="1414"/>
      <c r="AP20" s="1242" t="s">
        <v>56</v>
      </c>
      <c r="AQ20" s="1413"/>
      <c r="AR20" s="473">
        <v>1</v>
      </c>
      <c r="AS20" s="1414"/>
      <c r="AT20" s="250"/>
      <c r="AU20" s="318"/>
      <c r="AV20" s="250"/>
      <c r="AW20" s="318"/>
      <c r="AX20" s="1646"/>
      <c r="AY20" s="1373" t="s">
        <v>61</v>
      </c>
      <c r="AZ20" s="1646"/>
      <c r="BA20" s="1373" t="s">
        <v>61</v>
      </c>
    </row>
    <row r="21" spans="1:60" ht="14.25" hidden="1" customHeight="1">
      <c r="BD21" s="422"/>
      <c r="BE21" s="422"/>
      <c r="BF21" s="422"/>
      <c r="BG21" s="422"/>
      <c r="BH21" s="422"/>
    </row>
    <row r="22" spans="1:60" ht="14.25" hidden="1" customHeight="1">
      <c r="O22" s="1283" t="s">
        <v>406</v>
      </c>
      <c r="Z22" s="1262"/>
      <c r="AB22" s="1262"/>
      <c r="AC22" s="253"/>
      <c r="AX22" s="1262"/>
      <c r="AZ22" s="1262"/>
      <c r="BA22" s="253"/>
      <c r="BD22" s="422"/>
      <c r="BE22" s="422"/>
      <c r="BF22" s="422"/>
      <c r="BG22" s="422"/>
      <c r="BH22" s="422"/>
    </row>
    <row r="23" spans="1:60" ht="14.25" hidden="1" customHeight="1">
      <c r="AC23" s="253"/>
      <c r="BA23" s="253"/>
      <c r="BD23" s="422"/>
      <c r="BE23" s="422"/>
      <c r="BF23" s="422"/>
      <c r="BG23" s="422"/>
      <c r="BH23" s="422"/>
    </row>
    <row r="24" spans="1:60" s="1944" customFormat="1" ht="14.25" hidden="1" customHeight="1">
      <c r="M24" s="1418"/>
      <c r="N24" s="1418"/>
      <c r="O24" s="1419" t="s">
        <v>407</v>
      </c>
      <c r="P24" s="1418"/>
      <c r="Q24" s="1420"/>
      <c r="R24" s="1420"/>
      <c r="AA24" s="1417" t="s">
        <v>409</v>
      </c>
      <c r="AC24" s="1417" t="s">
        <v>410</v>
      </c>
      <c r="AD24" s="1417" t="s">
        <v>456</v>
      </c>
      <c r="AH24" s="1417" t="s">
        <v>456</v>
      </c>
      <c r="AK24" s="1417" t="s">
        <v>496</v>
      </c>
      <c r="AL24" s="1417" t="s">
        <v>456</v>
      </c>
      <c r="AP24" s="1417" t="s">
        <v>456</v>
      </c>
      <c r="AY24" s="1417" t="s">
        <v>409</v>
      </c>
      <c r="BA24" s="1417" t="s">
        <v>410</v>
      </c>
      <c r="BD24" s="1421"/>
      <c r="BE24" s="1421"/>
      <c r="BF24" s="1421"/>
      <c r="BG24" s="1421"/>
      <c r="BH24" s="1421"/>
    </row>
    <row r="25" spans="1:60" ht="14.25" hidden="1" customHeight="1">
      <c r="O25" s="1280"/>
      <c r="BD25" s="422"/>
      <c r="BE25" s="422"/>
      <c r="BF25" s="422"/>
      <c r="BG25" s="422"/>
      <c r="BH25" s="422"/>
    </row>
    <row r="26" spans="1:60" ht="14.25" hidden="1" customHeight="1">
      <c r="O26" s="1280"/>
      <c r="BD26" s="422"/>
      <c r="BE26" s="422"/>
      <c r="BF26" s="422"/>
      <c r="BG26" s="422"/>
      <c r="BH26" s="422"/>
    </row>
    <row r="27" spans="1:60" ht="14.25" customHeight="1">
      <c r="Q27" s="209"/>
      <c r="R27" s="305"/>
      <c r="S27" s="1195"/>
      <c r="T27" s="290"/>
      <c r="U27" s="290"/>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row>
    <row r="28" spans="1:60" ht="14.25" customHeight="1">
      <c r="Q28" s="209"/>
      <c r="R28" s="305"/>
      <c r="S28" s="2254"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152"/>
    </row>
    <row r="29" spans="1:60" ht="14.25" customHeight="1">
      <c r="Q29" s="209"/>
      <c r="R29" s="305"/>
      <c r="S29" s="2200" t="str">
        <f>IF(org=0,"Не определено",org)</f>
        <v>ПАО "Юнипро"</v>
      </c>
      <c r="T29" s="2200"/>
      <c r="U29" s="2200"/>
      <c r="V29" s="2200"/>
      <c r="W29" s="2200"/>
      <c r="X29" s="2200"/>
      <c r="Y29" s="2200"/>
      <c r="Z29" s="2200"/>
      <c r="AA29" s="2200"/>
      <c r="AB29" s="2200"/>
      <c r="AC29" s="2200"/>
      <c r="AD29" s="2200"/>
      <c r="AE29" s="2200"/>
      <c r="AF29" s="2200"/>
      <c r="AG29" s="2200"/>
      <c r="AH29" s="2200"/>
      <c r="AI29" s="2200"/>
      <c r="AJ29" s="2200"/>
      <c r="AK29" s="2200"/>
      <c r="AL29" s="2200"/>
      <c r="AM29" s="2200"/>
      <c r="AN29" s="2200"/>
      <c r="AO29" s="2200"/>
      <c r="AP29" s="2200"/>
      <c r="AQ29" s="2200"/>
      <c r="AR29" s="2200"/>
      <c r="AS29" s="2200"/>
      <c r="AT29" s="2200"/>
      <c r="AU29" s="2200"/>
      <c r="AV29" s="2200"/>
      <c r="AW29" s="2200"/>
      <c r="AX29" s="2200"/>
      <c r="AY29" s="2200"/>
      <c r="AZ29" s="2200"/>
      <c r="BA29" s="1152"/>
    </row>
    <row r="30" spans="1:60" ht="14.25" customHeight="1">
      <c r="Q30" s="209"/>
      <c r="R30" s="305"/>
      <c r="S30" s="1195"/>
      <c r="T30" s="290"/>
      <c r="U30" s="290"/>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435"/>
    </row>
    <row r="31" spans="1:60" s="1936" customFormat="1" ht="25.5" customHeight="1">
      <c r="A31" s="1284"/>
      <c r="B31" s="1284"/>
      <c r="C31" s="1284"/>
      <c r="D31" s="1284"/>
      <c r="E31" s="1284"/>
      <c r="F31" s="1284"/>
      <c r="G31" s="1284"/>
      <c r="H31" s="1284"/>
      <c r="I31" s="1284"/>
      <c r="J31" s="1284"/>
      <c r="K31" s="1284"/>
      <c r="L31" s="1285"/>
      <c r="M31" s="1284"/>
      <c r="N31" s="1284"/>
      <c r="O31" s="1284"/>
      <c r="P31" s="1284"/>
      <c r="Q31" s="1284"/>
      <c r="S31" s="2262" t="s">
        <v>38</v>
      </c>
      <c r="T31" s="2262"/>
      <c r="U31" s="1288"/>
      <c r="V31" s="2263" t="str">
        <f>IF(TITLE_NAME_OR_PR_CHANGE="",IF(TITLE_NAME_OR_PR="","",TITLE_NAME_OR_PR),TITLE_NAME_OR_PR_CHANGE)</f>
        <v>Министерство тарифной политики Красноярского края</v>
      </c>
      <c r="W31" s="2263"/>
      <c r="X31" s="2263"/>
      <c r="Y31" s="2263"/>
      <c r="Z31" s="2263"/>
      <c r="AA31" s="2263"/>
      <c r="AB31" s="2263"/>
      <c r="AC31" s="252"/>
      <c r="AD31" s="2263" t="str">
        <f>IF(TITLE_NAME_OR_PR_CHANGE="",IF(TITLE_NAME_OR_PR="","",TITLE_NAME_OR_PR),TITLE_NAME_OR_PR_CHANGE)</f>
        <v>Министерство тарифной политики Красноярского края</v>
      </c>
      <c r="AE31" s="2263"/>
      <c r="AF31" s="2263"/>
      <c r="AG31" s="2263"/>
      <c r="AH31" s="2263"/>
      <c r="AI31" s="2263"/>
      <c r="AJ31" s="2263"/>
      <c r="AK31" s="2263"/>
      <c r="AL31" s="2263"/>
      <c r="AM31" s="2263"/>
      <c r="AN31" s="2263"/>
      <c r="AO31" s="2263"/>
      <c r="AP31" s="2263"/>
      <c r="AQ31" s="2263"/>
      <c r="AR31" s="2263"/>
      <c r="AS31" s="2263"/>
      <c r="AT31" s="2263"/>
      <c r="AU31" s="2263"/>
      <c r="AV31" s="2263"/>
      <c r="AW31" s="2263"/>
      <c r="AX31" s="2263"/>
      <c r="AY31" s="2263"/>
      <c r="AZ31" s="2263"/>
      <c r="BA31" s="252"/>
      <c r="BB31" s="252"/>
      <c r="BC31" s="199"/>
      <c r="BD31" s="296"/>
      <c r="BE31" s="296"/>
      <c r="BF31" s="296"/>
      <c r="BG31" s="296"/>
      <c r="BH31" s="296"/>
    </row>
    <row r="32" spans="1:60" s="1936" customFormat="1" ht="18.75" customHeight="1">
      <c r="A32" s="1284"/>
      <c r="B32" s="1284"/>
      <c r="C32" s="1284"/>
      <c r="D32" s="1284"/>
      <c r="E32" s="1284"/>
      <c r="F32" s="1284"/>
      <c r="G32" s="1284"/>
      <c r="H32" s="1284"/>
      <c r="I32" s="1284"/>
      <c r="J32" s="1284"/>
      <c r="K32" s="1284"/>
      <c r="L32" s="1285"/>
      <c r="M32" s="1284"/>
      <c r="N32" s="1284"/>
      <c r="O32" s="1284"/>
      <c r="P32" s="1284"/>
      <c r="Q32" s="1284"/>
      <c r="S32" s="2262" t="s">
        <v>412</v>
      </c>
      <c r="T32" s="2262"/>
      <c r="U32" s="1288"/>
      <c r="V32" s="2272">
        <f>IF(TITLE_DATE_PR_CHANGE="",IF(TITLE_DATE_PR="","",TITLE_DATE_PR),TITLE_DATE_PR_CHANGE)</f>
        <v>45278.357847222222</v>
      </c>
      <c r="W32" s="2272"/>
      <c r="X32" s="2272"/>
      <c r="Y32" s="2272"/>
      <c r="Z32" s="2272"/>
      <c r="AA32" s="2272"/>
      <c r="AB32" s="2272"/>
      <c r="AC32" s="252"/>
      <c r="AD32" s="2272">
        <f>IF(TITLE_DATE_PR_CHANGE="",IF(TITLE_DATE_PR="","",TITLE_DATE_PR),TITLE_DATE_PR_CHANGE)</f>
        <v>45278.357847222222</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252"/>
      <c r="BB32" s="252"/>
      <c r="BC32" s="199"/>
      <c r="BD32" s="296"/>
      <c r="BE32" s="296"/>
      <c r="BF32" s="296"/>
      <c r="BG32" s="296"/>
      <c r="BH32" s="296"/>
    </row>
    <row r="33" spans="1:60" s="1936" customFormat="1" ht="18.75" customHeight="1">
      <c r="A33" s="1284"/>
      <c r="B33" s="1284"/>
      <c r="C33" s="1284"/>
      <c r="D33" s="1284"/>
      <c r="E33" s="1284"/>
      <c r="F33" s="1284"/>
      <c r="G33" s="1284"/>
      <c r="H33" s="1284"/>
      <c r="I33" s="1284"/>
      <c r="J33" s="1284"/>
      <c r="K33" s="1284"/>
      <c r="L33" s="1285"/>
      <c r="M33" s="1284"/>
      <c r="N33" s="1284"/>
      <c r="O33" s="1284"/>
      <c r="P33" s="1284"/>
      <c r="Q33" s="1284"/>
      <c r="S33" s="2262" t="s">
        <v>413</v>
      </c>
      <c r="T33" s="2262"/>
      <c r="U33" s="1288"/>
      <c r="V33" s="2263" t="str">
        <f>IF(TITLE_NUMBER_PR_CHANGE="",IF(TITLE_NUMBER_PR="","",TITLE_NUMBER_PR),TITLE_NUMBER_PR_CHANGE)</f>
        <v>924-в</v>
      </c>
      <c r="W33" s="2263"/>
      <c r="X33" s="2263"/>
      <c r="Y33" s="2263"/>
      <c r="Z33" s="2263"/>
      <c r="AA33" s="2263"/>
      <c r="AB33" s="2263"/>
      <c r="AC33" s="252"/>
      <c r="AD33" s="2263" t="str">
        <f>IF(TITLE_NUMBER_PR_CHANGE="",IF(TITLE_NUMBER_PR="","",TITLE_NUMBER_PR),TITLE_NUMBER_PR_CHANGE)</f>
        <v>924-в</v>
      </c>
      <c r="AE33" s="2263"/>
      <c r="AF33" s="2263"/>
      <c r="AG33" s="2263"/>
      <c r="AH33" s="2263"/>
      <c r="AI33" s="2263"/>
      <c r="AJ33" s="2263"/>
      <c r="AK33" s="2263"/>
      <c r="AL33" s="2263"/>
      <c r="AM33" s="2263"/>
      <c r="AN33" s="2263"/>
      <c r="AO33" s="2263"/>
      <c r="AP33" s="2263"/>
      <c r="AQ33" s="2263"/>
      <c r="AR33" s="2263"/>
      <c r="AS33" s="2263"/>
      <c r="AT33" s="2263"/>
      <c r="AU33" s="2263"/>
      <c r="AV33" s="2263"/>
      <c r="AW33" s="2263"/>
      <c r="AX33" s="2263"/>
      <c r="AY33" s="2263"/>
      <c r="AZ33" s="2263"/>
      <c r="BA33" s="252"/>
      <c r="BB33" s="252"/>
      <c r="BC33" s="199"/>
      <c r="BD33" s="296"/>
      <c r="BE33" s="296"/>
      <c r="BF33" s="296"/>
      <c r="BG33" s="296"/>
      <c r="BH33" s="296"/>
    </row>
    <row r="34" spans="1:60" s="1936" customFormat="1" ht="18.75" customHeight="1">
      <c r="A34" s="1284"/>
      <c r="B34" s="1284"/>
      <c r="C34" s="1284"/>
      <c r="D34" s="1284"/>
      <c r="E34" s="1284"/>
      <c r="F34" s="1284"/>
      <c r="G34" s="1284"/>
      <c r="H34" s="1284"/>
      <c r="I34" s="1284"/>
      <c r="J34" s="1284"/>
      <c r="K34" s="1284"/>
      <c r="L34" s="1285"/>
      <c r="M34" s="1284"/>
      <c r="N34" s="1284"/>
      <c r="O34" s="1284"/>
      <c r="P34" s="1284"/>
      <c r="Q34" s="1284"/>
      <c r="S34" s="2262" t="s">
        <v>40</v>
      </c>
      <c r="T34" s="2262"/>
      <c r="U34" s="1288"/>
      <c r="V34" s="2263" t="str">
        <f>IF(TITLE_IST_PUB_CHANGE="",IF(TITLE_IST_PUB="","",TITLE_IST_PUB),TITLE_IST_PUB_CHANGE)</f>
        <v>Официальный интернет-портал правовой информации Красноярского края (http://www.zakon.krskstate.ru/)</v>
      </c>
      <c r="W34" s="2263"/>
      <c r="X34" s="2263"/>
      <c r="Y34" s="2263"/>
      <c r="Z34" s="2263"/>
      <c r="AA34" s="2263"/>
      <c r="AB34" s="2263"/>
      <c r="AC34" s="252"/>
      <c r="AD34" s="2263" t="str">
        <f>IF(TITLE_IST_PUB_CHANGE="",IF(TITLE_IST_PUB="","",TITLE_IST_PUB),TITLE_IST_PUB_CHANGE)</f>
        <v>Официальный интернет-портал правовой информации Красноярского края (http://www.zakon.krskstate.ru/)</v>
      </c>
      <c r="AE34" s="2263"/>
      <c r="AF34" s="2263"/>
      <c r="AG34" s="2263"/>
      <c r="AH34" s="2263"/>
      <c r="AI34" s="2263"/>
      <c r="AJ34" s="2263"/>
      <c r="AK34" s="2263"/>
      <c r="AL34" s="2263"/>
      <c r="AM34" s="2263"/>
      <c r="AN34" s="2263"/>
      <c r="AO34" s="2263"/>
      <c r="AP34" s="2263"/>
      <c r="AQ34" s="2263"/>
      <c r="AR34" s="2263"/>
      <c r="AS34" s="2263"/>
      <c r="AT34" s="2263"/>
      <c r="AU34" s="2263"/>
      <c r="AV34" s="2263"/>
      <c r="AW34" s="2263"/>
      <c r="AX34" s="2263"/>
      <c r="AY34" s="2263"/>
      <c r="AZ34" s="2263"/>
      <c r="BA34" s="252"/>
      <c r="BB34" s="252"/>
      <c r="BC34" s="199"/>
      <c r="BD34" s="296"/>
      <c r="BE34" s="296"/>
      <c r="BF34" s="296"/>
      <c r="BG34" s="296"/>
      <c r="BH34" s="296"/>
    </row>
    <row r="35" spans="1:60" ht="14.25" hidden="1" customHeight="1">
      <c r="Q35" s="209"/>
      <c r="R35" s="305"/>
      <c r="S35" s="1195"/>
      <c r="T35" s="290"/>
      <c r="U35" s="290"/>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435"/>
    </row>
    <row r="36" spans="1:60" s="1936" customFormat="1" ht="18.75" hidden="1" customHeight="1">
      <c r="A36" s="1284"/>
      <c r="B36" s="1284"/>
      <c r="C36" s="1284"/>
      <c r="D36" s="1284"/>
      <c r="E36" s="1284"/>
      <c r="F36" s="1284"/>
      <c r="G36" s="1284"/>
      <c r="H36" s="1284"/>
      <c r="I36" s="1284"/>
      <c r="J36" s="1284"/>
      <c r="K36" s="1284"/>
      <c r="L36" s="1285"/>
      <c r="M36" s="1284"/>
      <c r="N36" s="1284"/>
      <c r="O36" s="1284"/>
      <c r="P36" s="1284"/>
      <c r="Q36" s="1284"/>
      <c r="S36" s="2262" t="s">
        <v>412</v>
      </c>
      <c r="T36" s="2262"/>
      <c r="U36" s="1288"/>
      <c r="V36" s="2272">
        <f>IF(TITLE_DATE_PR_CHANGE="",IF(TITLE_DATE_PR="","",TITLE_DATE_PR),TITLE_DATE_PR_CHANGE)</f>
        <v>45278.357847222222</v>
      </c>
      <c r="W36" s="2272"/>
      <c r="X36" s="2272"/>
      <c r="Y36" s="2272"/>
      <c r="Z36" s="2272"/>
      <c r="AA36" s="2272"/>
      <c r="AB36" s="2272"/>
      <c r="AC36" s="252"/>
      <c r="AD36" s="2272">
        <f>IF(TITLE_DATE_PR_CHANGE="",IF(TITLE_DATE_PR="","",TITLE_DATE_PR),TITLE_DATE_PR_CHANGE)</f>
        <v>45278.357847222222</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252"/>
      <c r="BB36" s="252"/>
      <c r="BC36" s="199"/>
      <c r="BD36" s="296"/>
      <c r="BE36" s="296"/>
      <c r="BF36" s="296"/>
      <c r="BG36" s="296"/>
      <c r="BH36" s="296"/>
    </row>
    <row r="37" spans="1:60" s="1936" customFormat="1" ht="18.75" hidden="1" customHeight="1">
      <c r="A37" s="1284"/>
      <c r="B37" s="1284"/>
      <c r="C37" s="1284"/>
      <c r="D37" s="1284"/>
      <c r="E37" s="1284"/>
      <c r="F37" s="1284"/>
      <c r="G37" s="1284"/>
      <c r="H37" s="1284"/>
      <c r="I37" s="1284"/>
      <c r="J37" s="1284"/>
      <c r="K37" s="1284"/>
      <c r="L37" s="1285"/>
      <c r="M37" s="1284"/>
      <c r="N37" s="1284"/>
      <c r="O37" s="1284"/>
      <c r="P37" s="1284"/>
      <c r="Q37" s="1284"/>
      <c r="S37" s="2262" t="s">
        <v>413</v>
      </c>
      <c r="T37" s="2262"/>
      <c r="U37" s="1288"/>
      <c r="V37" s="2263" t="str">
        <f>IF(TITLE_NUMBER_PR_CHANGE="",IF(TITLE_NUMBER_PR="","",TITLE_NUMBER_PR),TITLE_NUMBER_PR_CHANGE)</f>
        <v>924-в</v>
      </c>
      <c r="W37" s="2263"/>
      <c r="X37" s="2263"/>
      <c r="Y37" s="2263"/>
      <c r="Z37" s="2263"/>
      <c r="AA37" s="2263"/>
      <c r="AB37" s="2263"/>
      <c r="AC37" s="252"/>
      <c r="AD37" s="2263" t="str">
        <f>IF(TITLE_NUMBER_PR_CHANGE="",IF(TITLE_NUMBER_PR="","",TITLE_NUMBER_PR),TITLE_NUMBER_PR_CHANGE)</f>
        <v>924-в</v>
      </c>
      <c r="AE37" s="2263"/>
      <c r="AF37" s="2263"/>
      <c r="AG37" s="2263"/>
      <c r="AH37" s="2263"/>
      <c r="AI37" s="2263"/>
      <c r="AJ37" s="2263"/>
      <c r="AK37" s="2263"/>
      <c r="AL37" s="2263"/>
      <c r="AM37" s="2263"/>
      <c r="AN37" s="2263"/>
      <c r="AO37" s="2263"/>
      <c r="AP37" s="2263"/>
      <c r="AQ37" s="2263"/>
      <c r="AR37" s="2263"/>
      <c r="AS37" s="2263"/>
      <c r="AT37" s="2263"/>
      <c r="AU37" s="2263"/>
      <c r="AV37" s="2263"/>
      <c r="AW37" s="2263"/>
      <c r="AX37" s="2263"/>
      <c r="AY37" s="2263"/>
      <c r="AZ37" s="2263"/>
      <c r="BA37" s="252"/>
      <c r="BB37" s="252"/>
      <c r="BC37" s="199"/>
      <c r="BD37" s="296"/>
      <c r="BE37" s="296"/>
      <c r="BF37" s="296"/>
      <c r="BG37" s="296"/>
      <c r="BH37" s="296"/>
    </row>
    <row r="38" spans="1:60" s="1936" customFormat="1" ht="0" hidden="1" customHeight="1">
      <c r="A38" s="1284"/>
      <c r="B38" s="1284"/>
      <c r="C38" s="1284"/>
      <c r="D38" s="1284"/>
      <c r="E38" s="1284"/>
      <c r="F38" s="1284"/>
      <c r="G38" s="1284"/>
      <c r="H38" s="1284"/>
      <c r="I38" s="1284"/>
      <c r="J38" s="1284"/>
      <c r="K38" s="1284"/>
      <c r="L38" s="1285"/>
      <c r="M38" s="1284"/>
      <c r="N38" s="1284"/>
      <c r="O38" s="1284"/>
      <c r="P38" s="1284"/>
      <c r="Q38" s="1284"/>
      <c r="S38" s="248"/>
      <c r="T38" s="248"/>
      <c r="U38" s="1367"/>
      <c r="V38" s="252"/>
      <c r="W38" s="252"/>
      <c r="X38" s="252"/>
      <c r="Y38" s="252"/>
      <c r="Z38" s="252"/>
      <c r="AA38" s="252"/>
      <c r="AB38" s="252"/>
      <c r="AC38" s="197" t="s">
        <v>416</v>
      </c>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197" t="s">
        <v>416</v>
      </c>
      <c r="BD38" s="296"/>
      <c r="BE38" s="296"/>
      <c r="BF38" s="296"/>
      <c r="BG38" s="296"/>
      <c r="BH38" s="296"/>
    </row>
    <row r="39" spans="1:60" ht="14.25" customHeight="1">
      <c r="Q39" s="209"/>
      <c r="R39" s="305"/>
      <c r="S39" s="1195"/>
      <c r="T39" s="290"/>
      <c r="U39" s="1153"/>
      <c r="V39" s="2264"/>
      <c r="W39" s="2264"/>
      <c r="X39" s="2264"/>
      <c r="Y39" s="2264"/>
      <c r="Z39" s="2264"/>
      <c r="AA39" s="2264"/>
      <c r="AB39" s="2264"/>
      <c r="AC39" s="2264"/>
      <c r="AD39" s="2264"/>
      <c r="AE39" s="2264"/>
      <c r="AF39" s="2264"/>
      <c r="AG39" s="2264"/>
      <c r="AH39" s="2264"/>
      <c r="AI39" s="2264"/>
      <c r="AJ39" s="2264"/>
      <c r="AK39" s="2264"/>
      <c r="AL39" s="2264"/>
      <c r="AM39" s="2264"/>
      <c r="AN39" s="2264"/>
      <c r="AO39" s="2264"/>
      <c r="AP39" s="2264"/>
      <c r="AQ39" s="2264"/>
      <c r="AR39" s="2264"/>
      <c r="AS39" s="2264"/>
      <c r="AT39" s="2264"/>
      <c r="AU39" s="2264"/>
      <c r="AV39" s="2264"/>
      <c r="AW39" s="2264"/>
      <c r="AX39" s="2264"/>
      <c r="AY39" s="2264"/>
      <c r="AZ39" s="2264"/>
      <c r="BA39" s="2264"/>
    </row>
    <row r="40" spans="1:60" ht="14.25" customHeight="1">
      <c r="Q40" s="209"/>
      <c r="R40" s="305"/>
      <c r="S40" s="2143" t="s">
        <v>289</v>
      </c>
      <c r="T40" s="2143"/>
      <c r="U40" s="2143"/>
      <c r="V40" s="2143"/>
      <c r="W40" s="2143"/>
      <c r="X40" s="2143"/>
      <c r="Y40" s="2143"/>
      <c r="Z40" s="2143"/>
      <c r="AA40" s="2143"/>
      <c r="AB40" s="2143"/>
      <c r="AC40" s="2143"/>
      <c r="AD40" s="2143"/>
      <c r="AE40" s="2143"/>
      <c r="AF40" s="2143"/>
      <c r="AG40" s="2143"/>
      <c r="AH40" s="2143"/>
      <c r="AI40" s="2143"/>
      <c r="AJ40" s="2143"/>
      <c r="AK40" s="2143"/>
      <c r="AL40" s="2143"/>
      <c r="AM40" s="2143"/>
      <c r="AN40" s="2143"/>
      <c r="AO40" s="2143"/>
      <c r="AP40" s="2143"/>
      <c r="AQ40" s="2143"/>
      <c r="AR40" s="2143"/>
      <c r="AS40" s="2143"/>
      <c r="AT40" s="2143"/>
      <c r="AU40" s="2143"/>
      <c r="AV40" s="2143"/>
      <c r="AW40" s="2143"/>
      <c r="AX40" s="2143"/>
      <c r="AY40" s="2143"/>
      <c r="AZ40" s="2143"/>
      <c r="BA40" s="2143"/>
      <c r="BB40" s="2143"/>
      <c r="BC40" s="2143" t="s">
        <v>290</v>
      </c>
    </row>
    <row r="41" spans="1:60" ht="14.25" customHeight="1">
      <c r="Q41" s="209"/>
      <c r="R41" s="305"/>
      <c r="S41" s="2278" t="s">
        <v>87</v>
      </c>
      <c r="T41" s="2229" t="s">
        <v>497</v>
      </c>
      <c r="U41" s="219"/>
      <c r="V41" s="2279" t="s">
        <v>418</v>
      </c>
      <c r="W41" s="2280"/>
      <c r="X41" s="2280"/>
      <c r="Y41" s="2280"/>
      <c r="Z41" s="2280"/>
      <c r="AA41" s="2280"/>
      <c r="AB41" s="2281"/>
      <c r="AC41" s="2282" t="s">
        <v>419</v>
      </c>
      <c r="AD41" s="2308" t="s">
        <v>498</v>
      </c>
      <c r="AE41" s="2294"/>
      <c r="AF41" s="2294"/>
      <c r="AG41" s="2309"/>
      <c r="AH41" s="2308" t="s">
        <v>499</v>
      </c>
      <c r="AI41" s="2294"/>
      <c r="AJ41" s="2294"/>
      <c r="AK41" s="2309"/>
      <c r="AL41" s="2308" t="s">
        <v>500</v>
      </c>
      <c r="AM41" s="2294"/>
      <c r="AN41" s="2294"/>
      <c r="AO41" s="2309"/>
      <c r="AP41" s="2308" t="s">
        <v>501</v>
      </c>
      <c r="AQ41" s="2294"/>
      <c r="AR41" s="2294"/>
      <c r="AS41" s="2309"/>
      <c r="AT41" s="2279" t="s">
        <v>418</v>
      </c>
      <c r="AU41" s="2280"/>
      <c r="AV41" s="2280"/>
      <c r="AW41" s="2280"/>
      <c r="AX41" s="2280"/>
      <c r="AY41" s="2280"/>
      <c r="AZ41" s="2281"/>
      <c r="BA41" s="2282" t="s">
        <v>419</v>
      </c>
      <c r="BB41" s="2285" t="s">
        <v>421</v>
      </c>
      <c r="BC41" s="2143"/>
    </row>
    <row r="42" spans="1:60" ht="33.75" customHeight="1">
      <c r="Q42" s="209"/>
      <c r="R42" s="305"/>
      <c r="S42" s="2278"/>
      <c r="T42" s="2229"/>
      <c r="U42" s="938"/>
      <c r="V42" s="2214" t="s">
        <v>502</v>
      </c>
      <c r="W42" s="2215"/>
      <c r="X42" s="2214" t="s">
        <v>503</v>
      </c>
      <c r="Y42" s="2215"/>
      <c r="Z42" s="2214" t="s">
        <v>504</v>
      </c>
      <c r="AA42" s="2303"/>
      <c r="AB42" s="2215"/>
      <c r="AC42" s="2283"/>
      <c r="AD42" s="2310"/>
      <c r="AE42" s="2311"/>
      <c r="AF42" s="2311"/>
      <c r="AG42" s="2312"/>
      <c r="AH42" s="2310"/>
      <c r="AI42" s="2311"/>
      <c r="AJ42" s="2311"/>
      <c r="AK42" s="2312"/>
      <c r="AL42" s="2310"/>
      <c r="AM42" s="2311"/>
      <c r="AN42" s="2311"/>
      <c r="AO42" s="2312"/>
      <c r="AP42" s="2310"/>
      <c r="AQ42" s="2311"/>
      <c r="AR42" s="2311"/>
      <c r="AS42" s="2312"/>
      <c r="AT42" s="2214" t="s">
        <v>502</v>
      </c>
      <c r="AU42" s="2215"/>
      <c r="AV42" s="2214" t="s">
        <v>503</v>
      </c>
      <c r="AW42" s="2215"/>
      <c r="AX42" s="2214" t="s">
        <v>504</v>
      </c>
      <c r="AY42" s="2303"/>
      <c r="AZ42" s="2215"/>
      <c r="BA42" s="2283"/>
      <c r="BB42" s="2286"/>
      <c r="BC42" s="2143"/>
    </row>
    <row r="43" spans="1:60" ht="14.25" customHeight="1">
      <c r="Q43" s="209"/>
      <c r="R43" s="305"/>
      <c r="S43" s="2278"/>
      <c r="T43" s="2229"/>
      <c r="U43" s="938"/>
      <c r="V43" s="2219"/>
      <c r="W43" s="2220"/>
      <c r="X43" s="2219"/>
      <c r="Y43" s="2220"/>
      <c r="Z43" s="2219"/>
      <c r="AA43" s="2304"/>
      <c r="AB43" s="2220"/>
      <c r="AC43" s="2283"/>
      <c r="AD43" s="2310"/>
      <c r="AE43" s="2311"/>
      <c r="AF43" s="2311"/>
      <c r="AG43" s="2312"/>
      <c r="AH43" s="2310"/>
      <c r="AI43" s="2311"/>
      <c r="AJ43" s="2311"/>
      <c r="AK43" s="2312"/>
      <c r="AL43" s="2310"/>
      <c r="AM43" s="2311"/>
      <c r="AN43" s="2311"/>
      <c r="AO43" s="2312"/>
      <c r="AP43" s="2310"/>
      <c r="AQ43" s="2311"/>
      <c r="AR43" s="2311"/>
      <c r="AS43" s="2312"/>
      <c r="AT43" s="2219"/>
      <c r="AU43" s="2220"/>
      <c r="AV43" s="2219"/>
      <c r="AW43" s="2220"/>
      <c r="AX43" s="2219"/>
      <c r="AY43" s="2304"/>
      <c r="AZ43" s="2220"/>
      <c r="BA43" s="2283"/>
      <c r="BB43" s="2286"/>
      <c r="BC43" s="2143"/>
    </row>
    <row r="44" spans="1:60" ht="14.25" customHeight="1">
      <c r="A44" s="1286"/>
      <c r="B44" s="1286" t="s">
        <v>134</v>
      </c>
      <c r="C44" s="1286" t="s">
        <v>135</v>
      </c>
      <c r="D44" s="1286" t="s">
        <v>136</v>
      </c>
      <c r="E44" s="1280" t="s">
        <v>426</v>
      </c>
      <c r="F44" s="1280" t="s">
        <v>427</v>
      </c>
      <c r="G44" s="1280" t="s">
        <v>428</v>
      </c>
      <c r="H44" s="1280" t="s">
        <v>429</v>
      </c>
      <c r="I44" s="1280" t="s">
        <v>430</v>
      </c>
      <c r="J44" s="1280" t="s">
        <v>431</v>
      </c>
      <c r="K44" s="1280" t="s">
        <v>432</v>
      </c>
      <c r="L44" s="1280" t="s">
        <v>407</v>
      </c>
      <c r="Q44" s="209"/>
      <c r="R44" s="305"/>
      <c r="S44" s="2278"/>
      <c r="T44" s="2229"/>
      <c r="U44" s="220"/>
      <c r="V44" s="1361" t="s">
        <v>466</v>
      </c>
      <c r="W44" s="1361" t="s">
        <v>467</v>
      </c>
      <c r="X44" s="1361" t="s">
        <v>466</v>
      </c>
      <c r="Y44" s="1361" t="s">
        <v>467</v>
      </c>
      <c r="Z44" s="1368" t="s">
        <v>435</v>
      </c>
      <c r="AA44" s="2238" t="s">
        <v>436</v>
      </c>
      <c r="AB44" s="2240"/>
      <c r="AC44" s="2284"/>
      <c r="AD44" s="2313"/>
      <c r="AE44" s="2314"/>
      <c r="AF44" s="2314"/>
      <c r="AG44" s="2315"/>
      <c r="AH44" s="2313"/>
      <c r="AI44" s="2314"/>
      <c r="AJ44" s="2314"/>
      <c r="AK44" s="2315"/>
      <c r="AL44" s="2313"/>
      <c r="AM44" s="2314"/>
      <c r="AN44" s="2314"/>
      <c r="AO44" s="2315"/>
      <c r="AP44" s="2313"/>
      <c r="AQ44" s="2314"/>
      <c r="AR44" s="2314"/>
      <c r="AS44" s="2315"/>
      <c r="AT44" s="1361" t="s">
        <v>466</v>
      </c>
      <c r="AU44" s="1361" t="s">
        <v>467</v>
      </c>
      <c r="AV44" s="1361" t="s">
        <v>466</v>
      </c>
      <c r="AW44" s="1361" t="s">
        <v>467</v>
      </c>
      <c r="AX44" s="1368" t="s">
        <v>435</v>
      </c>
      <c r="AY44" s="2238" t="s">
        <v>436</v>
      </c>
      <c r="AZ44" s="2240"/>
      <c r="BA44" s="2284"/>
      <c r="BB44" s="2287"/>
      <c r="BC44" s="2143"/>
    </row>
    <row r="45" spans="1:60" s="1819" customFormat="1" ht="11.25" hidden="1" customHeight="1">
      <c r="A45" s="1286"/>
      <c r="B45" s="1286"/>
      <c r="C45" s="1286"/>
      <c r="D45" s="1286"/>
      <c r="E45" s="1286"/>
      <c r="F45" s="1286"/>
      <c r="G45" s="1286"/>
      <c r="H45" s="1286"/>
      <c r="I45" s="1286"/>
      <c r="J45" s="1286"/>
      <c r="K45" s="1286"/>
      <c r="L45" s="1280"/>
      <c r="M45" s="1278"/>
      <c r="N45" s="1278"/>
      <c r="O45" s="1278"/>
      <c r="P45" s="436"/>
      <c r="Q45" s="1171"/>
      <c r="R45" s="1171">
        <v>1</v>
      </c>
      <c r="S45" s="1197" t="s">
        <v>108</v>
      </c>
      <c r="T45" s="1172" t="s">
        <v>109</v>
      </c>
      <c r="U45" s="1154" t="str">
        <f ca="1">OFFSET(U45,0,-1)</f>
        <v>2</v>
      </c>
      <c r="V45" s="1364">
        <f t="shared" ref="V45:AA45" ca="1" si="2">OFFSET(V45,0,-1)+1</f>
        <v>3</v>
      </c>
      <c r="W45" s="1364">
        <f t="shared" ca="1" si="2"/>
        <v>4</v>
      </c>
      <c r="X45" s="1364">
        <f t="shared" ca="1" si="2"/>
        <v>5</v>
      </c>
      <c r="Y45" s="1364">
        <f t="shared" ca="1" si="2"/>
        <v>6</v>
      </c>
      <c r="Z45" s="1364">
        <f t="shared" ca="1" si="2"/>
        <v>7</v>
      </c>
      <c r="AA45" s="2277">
        <f t="shared" ca="1" si="2"/>
        <v>8</v>
      </c>
      <c r="AB45" s="2277"/>
      <c r="AC45" s="1364">
        <f ca="1">OFFSET(AC45,0,-2)+1</f>
        <v>9</v>
      </c>
      <c r="AD45" s="1364">
        <f ca="1">OFFSET(AD45,0,-1)+1</f>
        <v>10</v>
      </c>
      <c r="AE45" s="1364"/>
      <c r="AF45" s="1364"/>
      <c r="AG45" s="1364"/>
      <c r="AH45" s="1364"/>
      <c r="AI45" s="1364"/>
      <c r="AJ45" s="1364"/>
      <c r="AK45" s="1364"/>
      <c r="AL45" s="1364"/>
      <c r="AM45" s="1364"/>
      <c r="AN45" s="1364"/>
      <c r="AO45" s="1364"/>
      <c r="AP45" s="1364"/>
      <c r="AQ45" s="1364"/>
      <c r="AR45" s="1364"/>
      <c r="AS45" s="1364"/>
      <c r="AT45" s="1364"/>
      <c r="AU45" s="1364"/>
      <c r="AV45" s="1364"/>
      <c r="AW45" s="1364">
        <f ca="1">OFFSET(AW45,0,-1)+1</f>
        <v>1</v>
      </c>
      <c r="AX45" s="1364">
        <f ca="1">OFFSET(AX45,0,-1)+1</f>
        <v>2</v>
      </c>
      <c r="AY45" s="2277">
        <f ca="1">OFFSET(AY45,0,-1)+1</f>
        <v>3</v>
      </c>
      <c r="AZ45" s="2277"/>
      <c r="BA45" s="1364">
        <f ca="1">OFFSET(BA45,0,-2)+1</f>
        <v>4</v>
      </c>
      <c r="BB45" s="1154">
        <f ca="1">OFFSET(BB45,0,-1)</f>
        <v>4</v>
      </c>
      <c r="BC45" s="1364">
        <f ca="1">OFFSET(BC45,0,-1)+1</f>
        <v>5</v>
      </c>
      <c r="BD45" s="437"/>
      <c r="BE45" s="437"/>
      <c r="BF45" s="437"/>
      <c r="BG45" s="437"/>
      <c r="BH45" s="437"/>
    </row>
    <row r="46" spans="1:60" ht="21" customHeight="1">
      <c r="A46" s="1279" t="s">
        <v>235</v>
      </c>
      <c r="B46" s="1279"/>
      <c r="C46" s="1279"/>
      <c r="D46" s="1279"/>
      <c r="E46" s="2270">
        <v>1</v>
      </c>
      <c r="F46" s="1279"/>
      <c r="G46" s="1279"/>
      <c r="H46" s="1279"/>
      <c r="I46" s="1279"/>
      <c r="J46" s="1279"/>
      <c r="K46" s="1279"/>
      <c r="L46" s="1280"/>
      <c r="M46" s="1281"/>
      <c r="N46" s="1281"/>
      <c r="O46" s="1281"/>
      <c r="P46" s="1325"/>
      <c r="Q46" s="786"/>
      <c r="R46" s="280"/>
      <c r="S46" s="1370">
        <f>INDEX(PT_DIFFERENTIATION_NUM_NTAR,MATCH(A46,PT_DIFFERENTIATION_NTAR_ID,0))</f>
        <v>0</v>
      </c>
      <c r="T46" s="216" t="s">
        <v>122</v>
      </c>
      <c r="U46" s="218"/>
      <c r="V46" s="2257"/>
      <c r="W46" s="2257"/>
      <c r="X46" s="2257"/>
      <c r="Y46" s="2257"/>
      <c r="Z46" s="2257"/>
      <c r="AA46" s="2257"/>
      <c r="AB46" s="2257"/>
      <c r="AC46" s="2258"/>
      <c r="AD46" s="2256" t="str">
        <f>INDEX(PT_DIFFERENTIATION_NTAR,MATCH(A46,PT_DIFFERENTIATION_NTAR_ID,0))</f>
        <v/>
      </c>
      <c r="AE46" s="2257"/>
      <c r="AF46" s="2257"/>
      <c r="AG46" s="2257"/>
      <c r="AH46" s="2257"/>
      <c r="AI46" s="2257"/>
      <c r="AJ46" s="2257"/>
      <c r="AK46" s="2257"/>
      <c r="AL46" s="2257"/>
      <c r="AM46" s="2257"/>
      <c r="AN46" s="2257"/>
      <c r="AO46" s="2257"/>
      <c r="AP46" s="2257"/>
      <c r="AQ46" s="2257"/>
      <c r="AR46" s="2257"/>
      <c r="AS46" s="2257"/>
      <c r="AT46" s="2257"/>
      <c r="AU46" s="2257"/>
      <c r="AV46" s="2257"/>
      <c r="AW46" s="2257"/>
      <c r="AX46" s="2257"/>
      <c r="AY46" s="2257"/>
      <c r="AZ46" s="2257"/>
      <c r="BA46" s="2257"/>
      <c r="BB46" s="2258"/>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6"/>
      <c r="BF46" s="426" t="str">
        <f t="shared" ref="BF46:BF52" si="3">IF(T46="","",T46)</f>
        <v>Наименование тарифа</v>
      </c>
      <c r="BG46" s="426"/>
      <c r="BH46" s="426"/>
    </row>
    <row r="47" spans="1:60" ht="21" customHeight="1">
      <c r="A47" s="1279" t="s">
        <v>235</v>
      </c>
      <c r="B47" s="1279" t="s">
        <v>236</v>
      </c>
      <c r="C47" s="1279"/>
      <c r="D47" s="1279"/>
      <c r="E47" s="2271"/>
      <c r="F47" s="2270">
        <v>1</v>
      </c>
      <c r="G47" s="1279"/>
      <c r="H47" s="1279"/>
      <c r="I47" s="1279"/>
      <c r="J47" s="1279"/>
      <c r="K47" s="1279"/>
      <c r="L47" s="1280"/>
      <c r="M47" s="1281"/>
      <c r="N47" s="1281"/>
      <c r="O47" s="1281"/>
      <c r="P47" s="1326"/>
      <c r="Q47" s="1327"/>
      <c r="R47" s="278"/>
      <c r="S47" s="1370" t="str">
        <f>INDEX(PT_DIFFERENTIATION_NUM_TER,MATCH(B47,PT_DIFFERENTIATION_TER_ID,0))</f>
        <v>.</v>
      </c>
      <c r="T47" s="228" t="s">
        <v>388</v>
      </c>
      <c r="U47" s="218"/>
      <c r="V47" s="2257"/>
      <c r="W47" s="2257"/>
      <c r="X47" s="2257"/>
      <c r="Y47" s="2257"/>
      <c r="Z47" s="2257"/>
      <c r="AA47" s="2257"/>
      <c r="AB47" s="2257"/>
      <c r="AC47" s="2258"/>
      <c r="AD47" s="2256" t="str">
        <f>INDEX(PT_DIFFERENTIATION_TER,MATCH(B47,PT_DIFFERENTIATION_TER_ID,0))</f>
        <v/>
      </c>
      <c r="AE47" s="2257"/>
      <c r="AF47" s="2257"/>
      <c r="AG47" s="2257"/>
      <c r="AH47" s="2257"/>
      <c r="AI47" s="2257"/>
      <c r="AJ47" s="2257"/>
      <c r="AK47" s="2257"/>
      <c r="AL47" s="2257"/>
      <c r="AM47" s="2257"/>
      <c r="AN47" s="2257"/>
      <c r="AO47" s="2257"/>
      <c r="AP47" s="2257"/>
      <c r="AQ47" s="2257"/>
      <c r="AR47" s="2257"/>
      <c r="AS47" s="2257"/>
      <c r="AT47" s="2257"/>
      <c r="AU47" s="2257"/>
      <c r="AV47" s="2257"/>
      <c r="AW47" s="2257"/>
      <c r="AX47" s="2257"/>
      <c r="AY47" s="2257"/>
      <c r="AZ47" s="2257"/>
      <c r="BA47" s="2257"/>
      <c r="BB47" s="2258"/>
      <c r="BC47" s="1177" t="s">
        <v>389</v>
      </c>
      <c r="BE47" s="426"/>
      <c r="BF47" s="426" t="str">
        <f t="shared" si="3"/>
        <v>Территория действия тарифа</v>
      </c>
      <c r="BG47" s="426"/>
      <c r="BH47" s="426"/>
    </row>
    <row r="48" spans="1:60" ht="42" customHeight="1">
      <c r="A48" s="1279" t="s">
        <v>235</v>
      </c>
      <c r="B48" s="1279" t="s">
        <v>236</v>
      </c>
      <c r="C48" s="1279" t="s">
        <v>237</v>
      </c>
      <c r="D48" s="1279"/>
      <c r="E48" s="2271"/>
      <c r="F48" s="2271"/>
      <c r="G48" s="2270">
        <v>1</v>
      </c>
      <c r="H48" s="1279"/>
      <c r="I48" s="1279"/>
      <c r="J48" s="1279"/>
      <c r="K48" s="1279"/>
      <c r="L48" s="1280"/>
      <c r="M48" s="1281"/>
      <c r="N48" s="1281"/>
      <c r="O48" s="1281"/>
      <c r="P48" s="1328"/>
      <c r="Q48" s="1327"/>
      <c r="R48" s="278"/>
      <c r="S48" s="1370" t="str">
        <f>INDEX(PT_DIFFERENTIATION_NUM_CS,MATCH(C48,PT_DIFFERENTIATION_CS_ID,0))</f>
        <v>..</v>
      </c>
      <c r="T48" s="229" t="s">
        <v>469</v>
      </c>
      <c r="U48" s="218"/>
      <c r="V48" s="2257"/>
      <c r="W48" s="2257"/>
      <c r="X48" s="2257"/>
      <c r="Y48" s="2257"/>
      <c r="Z48" s="2257"/>
      <c r="AA48" s="2257"/>
      <c r="AB48" s="2257"/>
      <c r="AC48" s="2258"/>
      <c r="AD48" s="2256" t="str">
        <f>INDEX(PT_DIFFERENTIATION_CS,MATCH(C48,PT_DIFFERENTIATION_CS_ID,0))</f>
        <v/>
      </c>
      <c r="AE48" s="2257"/>
      <c r="AF48" s="2257"/>
      <c r="AG48" s="2257"/>
      <c r="AH48" s="2257"/>
      <c r="AI48" s="2257"/>
      <c r="AJ48" s="2257"/>
      <c r="AK48" s="2257"/>
      <c r="AL48" s="2257"/>
      <c r="AM48" s="2257"/>
      <c r="AN48" s="2257"/>
      <c r="AO48" s="2257"/>
      <c r="AP48" s="2257"/>
      <c r="AQ48" s="2257"/>
      <c r="AR48" s="2257"/>
      <c r="AS48" s="2257"/>
      <c r="AT48" s="2257"/>
      <c r="AU48" s="2257"/>
      <c r="AV48" s="2257"/>
      <c r="AW48" s="2257"/>
      <c r="AX48" s="2257"/>
      <c r="AY48" s="2257"/>
      <c r="AZ48" s="2257"/>
      <c r="BA48" s="2257"/>
      <c r="BB48" s="2258"/>
      <c r="BC48" s="1177" t="s">
        <v>470</v>
      </c>
      <c r="BE48" s="426"/>
      <c r="BF48" s="426" t="str">
        <f t="shared" si="3"/>
        <v>Наименование централизованной системы холодного водоснабжения</v>
      </c>
      <c r="BG48" s="426"/>
      <c r="BH48" s="426"/>
    </row>
    <row r="49" spans="1:60" s="1820" customFormat="1" ht="0" hidden="1" customHeight="1">
      <c r="A49" s="1260" t="s">
        <v>235</v>
      </c>
      <c r="B49" s="1260" t="s">
        <v>236</v>
      </c>
      <c r="C49" s="1260" t="s">
        <v>237</v>
      </c>
      <c r="D49" s="1260" t="s">
        <v>505</v>
      </c>
      <c r="E49" s="2271"/>
      <c r="F49" s="2271"/>
      <c r="G49" s="2271"/>
      <c r="H49" s="2270">
        <v>1</v>
      </c>
      <c r="I49" s="1260"/>
      <c r="J49" s="1260"/>
      <c r="K49" s="1260"/>
      <c r="L49" s="1263"/>
      <c r="M49" s="1233"/>
      <c r="N49" s="1233"/>
      <c r="O49" s="1233"/>
      <c r="P49" s="1407"/>
      <c r="Q49" s="1408"/>
      <c r="R49" s="282"/>
      <c r="S49" s="949"/>
      <c r="T49" s="1409"/>
      <c r="U49" s="1300"/>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01" t="s">
        <v>393</v>
      </c>
      <c r="BE49" s="426"/>
      <c r="BF49" s="426" t="str">
        <f t="shared" si="3"/>
        <v/>
      </c>
      <c r="BG49" s="426"/>
      <c r="BH49" s="426"/>
    </row>
    <row r="50" spans="1:60" s="1820" customFormat="1" ht="0" hidden="1" customHeight="1">
      <c r="A50" s="1260" t="s">
        <v>235</v>
      </c>
      <c r="B50" s="1260" t="s">
        <v>236</v>
      </c>
      <c r="C50" s="1260" t="s">
        <v>237</v>
      </c>
      <c r="D50" s="1260" t="s">
        <v>505</v>
      </c>
      <c r="E50" s="2271"/>
      <c r="F50" s="2271"/>
      <c r="G50" s="2271"/>
      <c r="H50" s="2271"/>
      <c r="I50" s="2268" t="str">
        <f>S49&amp;".1"</f>
        <v>.1</v>
      </c>
      <c r="J50" s="1260"/>
      <c r="K50" s="1260"/>
      <c r="L50" s="1263" t="s">
        <v>394</v>
      </c>
      <c r="M50" s="436"/>
      <c r="N50" s="436"/>
      <c r="O50" s="436"/>
      <c r="P50" s="2269">
        <v>1</v>
      </c>
      <c r="Q50" s="1374"/>
      <c r="R50" s="281"/>
      <c r="S50" s="949"/>
      <c r="T50" s="1299"/>
      <c r="U50" s="1300"/>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01"/>
      <c r="BE50" s="426"/>
      <c r="BF50" s="426" t="str">
        <f t="shared" si="3"/>
        <v/>
      </c>
      <c r="BG50" s="426"/>
      <c r="BH50" s="426"/>
    </row>
    <row r="51" spans="1:60" s="1820" customFormat="1" ht="0" hidden="1" customHeight="1">
      <c r="A51" s="1260" t="s">
        <v>235</v>
      </c>
      <c r="B51" s="1260" t="s">
        <v>236</v>
      </c>
      <c r="C51" s="1260" t="s">
        <v>237</v>
      </c>
      <c r="D51" s="1260" t="s">
        <v>505</v>
      </c>
      <c r="E51" s="2271"/>
      <c r="F51" s="2271"/>
      <c r="G51" s="2271"/>
      <c r="H51" s="2271"/>
      <c r="I51" s="2291"/>
      <c r="J51" s="2268" t="str">
        <f>S49&amp;".1"</f>
        <v>.1</v>
      </c>
      <c r="K51" s="1260"/>
      <c r="L51" s="1263"/>
      <c r="M51" s="436"/>
      <c r="N51" s="436"/>
      <c r="O51" s="436"/>
      <c r="P51" s="2269"/>
      <c r="Q51" s="2269">
        <v>1</v>
      </c>
      <c r="R51" s="282"/>
      <c r="S51" s="949"/>
      <c r="T51" s="1315"/>
      <c r="U51" s="1300"/>
      <c r="V51" s="2298"/>
      <c r="W51" s="2298"/>
      <c r="X51" s="2298"/>
      <c r="Y51" s="2298"/>
      <c r="Z51" s="2298"/>
      <c r="AA51" s="2298"/>
      <c r="AB51" s="2298"/>
      <c r="AC51" s="2299"/>
      <c r="AD51" s="2297"/>
      <c r="AE51" s="2298"/>
      <c r="AF51" s="2298"/>
      <c r="AG51" s="2298"/>
      <c r="AH51" s="2298"/>
      <c r="AI51" s="2298"/>
      <c r="AJ51" s="2298"/>
      <c r="AK51" s="2298"/>
      <c r="AL51" s="2298"/>
      <c r="AM51" s="2298"/>
      <c r="AN51" s="2343"/>
      <c r="AO51" s="2343"/>
      <c r="AP51" s="2298"/>
      <c r="AQ51" s="2298"/>
      <c r="AR51" s="2298"/>
      <c r="AS51" s="2298"/>
      <c r="AT51" s="2298"/>
      <c r="AU51" s="2298"/>
      <c r="AV51" s="2298"/>
      <c r="AW51" s="2298"/>
      <c r="AX51" s="2298"/>
      <c r="AY51" s="2298"/>
      <c r="AZ51" s="2298"/>
      <c r="BA51" s="2298"/>
      <c r="BB51" s="2299"/>
      <c r="BC51" s="1301"/>
      <c r="BE51" s="426"/>
      <c r="BF51" s="426" t="str">
        <f t="shared" si="3"/>
        <v/>
      </c>
      <c r="BG51" s="426"/>
      <c r="BH51" s="426"/>
    </row>
    <row r="52" spans="1:60" ht="11.25" customHeight="1">
      <c r="A52" s="1279" t="s">
        <v>235</v>
      </c>
      <c r="B52" s="1279" t="s">
        <v>236</v>
      </c>
      <c r="C52" s="1279" t="s">
        <v>237</v>
      </c>
      <c r="D52" s="1279" t="s">
        <v>505</v>
      </c>
      <c r="E52" s="2271"/>
      <c r="F52" s="2271"/>
      <c r="G52" s="2271"/>
      <c r="H52" s="2271"/>
      <c r="I52" s="2291"/>
      <c r="J52" s="2291"/>
      <c r="K52" s="2268" t="str">
        <f>S48&amp;".1"</f>
        <v>...1</v>
      </c>
      <c r="L52" s="1280"/>
      <c r="P52" s="2269"/>
      <c r="Q52" s="2269"/>
      <c r="R52" s="282">
        <v>1</v>
      </c>
      <c r="S52" s="2320" t="str">
        <f>$K52</f>
        <v>...1</v>
      </c>
      <c r="T52" s="2338"/>
      <c r="U52" s="218"/>
      <c r="V52" s="668"/>
      <c r="W52" s="1176"/>
      <c r="X52" s="668"/>
      <c r="Y52" s="1176"/>
      <c r="Z52" s="1644"/>
      <c r="AA52" s="1372" t="s">
        <v>61</v>
      </c>
      <c r="AB52" s="1644"/>
      <c r="AC52" s="1372" t="s">
        <v>61</v>
      </c>
      <c r="AD52" s="2195" t="s">
        <v>61</v>
      </c>
      <c r="AE52" s="2306"/>
      <c r="AF52" s="2224">
        <v>1</v>
      </c>
      <c r="AG52" s="2342"/>
      <c r="AH52" s="2124" t="s">
        <v>61</v>
      </c>
      <c r="AI52" s="2306"/>
      <c r="AJ52" s="2224">
        <v>1</v>
      </c>
      <c r="AK52" s="2341" t="s">
        <v>24</v>
      </c>
      <c r="AL52" s="2124" t="s">
        <v>61</v>
      </c>
      <c r="AM52" s="2214"/>
      <c r="AN52" s="2224">
        <v>1</v>
      </c>
      <c r="AO52" s="2335"/>
      <c r="AP52" s="2336" t="s">
        <v>61</v>
      </c>
      <c r="AQ52" s="231"/>
      <c r="AR52" s="1375">
        <v>1</v>
      </c>
      <c r="AS52" s="1378" t="s">
        <v>24</v>
      </c>
      <c r="AT52" s="668"/>
      <c r="AU52" s="1176"/>
      <c r="AV52" s="668"/>
      <c r="AW52" s="1176"/>
      <c r="AX52" s="1644"/>
      <c r="AY52" s="1372" t="s">
        <v>61</v>
      </c>
      <c r="AZ52" s="1644"/>
      <c r="BA52" s="1372" t="s">
        <v>61</v>
      </c>
      <c r="BB52" s="1265"/>
      <c r="BC52" s="2265" t="s">
        <v>491</v>
      </c>
      <c r="BE52" s="426"/>
      <c r="BF52" s="426" t="str">
        <f t="shared" si="3"/>
        <v/>
      </c>
      <c r="BG52" s="426"/>
      <c r="BH52" s="426"/>
    </row>
    <row r="53" spans="1:60" ht="11.25" customHeight="1">
      <c r="A53" s="1279"/>
      <c r="B53" s="1279"/>
      <c r="C53" s="1279"/>
      <c r="D53" s="1279"/>
      <c r="E53" s="2271"/>
      <c r="F53" s="2271"/>
      <c r="G53" s="2271"/>
      <c r="H53" s="2271"/>
      <c r="I53" s="2291"/>
      <c r="J53" s="2291"/>
      <c r="K53" s="2268"/>
      <c r="L53" s="1280"/>
      <c r="P53" s="2269"/>
      <c r="Q53" s="2269"/>
      <c r="R53" s="282"/>
      <c r="S53" s="2321"/>
      <c r="T53" s="2339"/>
      <c r="U53" s="218"/>
      <c r="V53" s="1309"/>
      <c r="W53" s="1406"/>
      <c r="X53" s="1309"/>
      <c r="Y53" s="1406"/>
      <c r="Z53" s="1309"/>
      <c r="AA53" s="1309"/>
      <c r="AB53" s="1309"/>
      <c r="AC53" s="1309"/>
      <c r="AD53" s="2196"/>
      <c r="AE53" s="2306"/>
      <c r="AF53" s="2224"/>
      <c r="AG53" s="2342"/>
      <c r="AH53" s="2124"/>
      <c r="AI53" s="2306"/>
      <c r="AJ53" s="2224"/>
      <c r="AK53" s="2341"/>
      <c r="AL53" s="2124"/>
      <c r="AM53" s="2219"/>
      <c r="AN53" s="2224"/>
      <c r="AO53" s="2335"/>
      <c r="AP53" s="2337"/>
      <c r="AQ53" s="238"/>
      <c r="AR53" s="350"/>
      <c r="AS53" s="350" t="s">
        <v>492</v>
      </c>
      <c r="AT53" s="1309"/>
      <c r="AU53" s="1406"/>
      <c r="AV53" s="1309"/>
      <c r="AW53" s="1406"/>
      <c r="AX53" s="1309"/>
      <c r="AY53" s="1309"/>
      <c r="AZ53" s="1309"/>
      <c r="BA53" s="1309"/>
      <c r="BB53" s="1313"/>
      <c r="BC53" s="2266"/>
      <c r="BE53" s="426"/>
      <c r="BF53" s="426"/>
      <c r="BG53" s="426"/>
      <c r="BH53" s="426"/>
    </row>
    <row r="54" spans="1:60" ht="11.25" customHeight="1">
      <c r="A54" s="1279" t="s">
        <v>235</v>
      </c>
      <c r="B54" s="1279"/>
      <c r="C54" s="1279"/>
      <c r="D54" s="1279"/>
      <c r="E54" s="2271"/>
      <c r="F54" s="2271"/>
      <c r="G54" s="2271"/>
      <c r="H54" s="2271"/>
      <c r="I54" s="2291"/>
      <c r="J54" s="2291"/>
      <c r="K54" s="2268"/>
      <c r="L54" s="1280"/>
      <c r="P54" s="2269"/>
      <c r="Q54" s="2269"/>
      <c r="R54" s="282"/>
      <c r="S54" s="2321"/>
      <c r="T54" s="2339"/>
      <c r="U54" s="218"/>
      <c r="V54" s="1309"/>
      <c r="W54" s="1406"/>
      <c r="X54" s="1309"/>
      <c r="Y54" s="1406"/>
      <c r="Z54" s="1309"/>
      <c r="AA54" s="1309"/>
      <c r="AB54" s="1309"/>
      <c r="AC54" s="1309"/>
      <c r="AD54" s="2196"/>
      <c r="AE54" s="2306"/>
      <c r="AF54" s="2224"/>
      <c r="AG54" s="2342"/>
      <c r="AH54" s="2124"/>
      <c r="AI54" s="2306"/>
      <c r="AJ54" s="2224"/>
      <c r="AK54" s="2341"/>
      <c r="AL54" s="2124"/>
      <c r="AM54" s="238"/>
      <c r="AN54" s="1410"/>
      <c r="AO54" s="1410" t="s">
        <v>493</v>
      </c>
      <c r="AP54" s="350"/>
      <c r="AQ54" s="350"/>
      <c r="AR54" s="350"/>
      <c r="AS54" s="1309"/>
      <c r="AT54" s="1309"/>
      <c r="AU54" s="1406"/>
      <c r="AV54" s="1309"/>
      <c r="AW54" s="1406"/>
      <c r="AX54" s="1309"/>
      <c r="AY54" s="1309"/>
      <c r="AZ54" s="1309"/>
      <c r="BA54" s="1309"/>
      <c r="BB54" s="1313"/>
      <c r="BC54" s="2266"/>
      <c r="BE54" s="426"/>
      <c r="BF54" s="426"/>
      <c r="BG54" s="426"/>
      <c r="BH54" s="426"/>
    </row>
    <row r="55" spans="1:60" ht="11.25" customHeight="1">
      <c r="A55" s="1279" t="s">
        <v>235</v>
      </c>
      <c r="B55" s="1279"/>
      <c r="C55" s="1279"/>
      <c r="D55" s="1279"/>
      <c r="E55" s="2271"/>
      <c r="F55" s="2271"/>
      <c r="G55" s="2271"/>
      <c r="H55" s="2271"/>
      <c r="I55" s="2291"/>
      <c r="J55" s="2291"/>
      <c r="K55" s="2268"/>
      <c r="L55" s="1280"/>
      <c r="P55" s="2269"/>
      <c r="Q55" s="2269"/>
      <c r="R55" s="282"/>
      <c r="S55" s="2321"/>
      <c r="T55" s="2339"/>
      <c r="U55" s="218"/>
      <c r="V55" s="1309"/>
      <c r="W55" s="1406"/>
      <c r="X55" s="1309"/>
      <c r="Y55" s="1406"/>
      <c r="Z55" s="1309"/>
      <c r="AA55" s="1309"/>
      <c r="AB55" s="1309"/>
      <c r="AC55" s="1309"/>
      <c r="AD55" s="2196"/>
      <c r="AE55" s="2306"/>
      <c r="AF55" s="2224"/>
      <c r="AG55" s="2342"/>
      <c r="AH55" s="2124"/>
      <c r="AI55" s="212"/>
      <c r="AJ55" s="349"/>
      <c r="AK55" s="233" t="s">
        <v>494</v>
      </c>
      <c r="AL55" s="1309"/>
      <c r="AM55" s="1309"/>
      <c r="AN55" s="1309"/>
      <c r="AO55" s="1309"/>
      <c r="AP55" s="1309"/>
      <c r="AQ55" s="1309"/>
      <c r="AR55" s="1309"/>
      <c r="AS55" s="1309"/>
      <c r="AT55" s="1309"/>
      <c r="AU55" s="1406"/>
      <c r="AV55" s="1309"/>
      <c r="AW55" s="1406"/>
      <c r="AX55" s="1309"/>
      <c r="AY55" s="1309"/>
      <c r="AZ55" s="1309"/>
      <c r="BA55" s="1309"/>
      <c r="BB55" s="1313"/>
      <c r="BC55" s="2266"/>
      <c r="BE55" s="426"/>
      <c r="BF55" s="426"/>
      <c r="BG55" s="426"/>
      <c r="BH55" s="426"/>
    </row>
    <row r="56" spans="1:60" ht="11.25" customHeight="1">
      <c r="A56" s="1279" t="s">
        <v>235</v>
      </c>
      <c r="B56" s="1279" t="s">
        <v>236</v>
      </c>
      <c r="C56" s="1279" t="s">
        <v>237</v>
      </c>
      <c r="D56" s="1279" t="s">
        <v>505</v>
      </c>
      <c r="E56" s="2271"/>
      <c r="F56" s="2271"/>
      <c r="G56" s="2271"/>
      <c r="H56" s="2271"/>
      <c r="I56" s="2291"/>
      <c r="J56" s="2291"/>
      <c r="K56" s="2268"/>
      <c r="L56" s="1280"/>
      <c r="P56" s="2269"/>
      <c r="Q56" s="2269"/>
      <c r="R56" s="282"/>
      <c r="S56" s="2322"/>
      <c r="T56" s="2340"/>
      <c r="U56" s="218"/>
      <c r="V56" s="1309"/>
      <c r="W56" s="1310" t="str">
        <f>Z52&amp;"-"&amp;AB52</f>
        <v>-</v>
      </c>
      <c r="X56" s="1309"/>
      <c r="Y56" s="1310" t="str">
        <f>AB52&amp;"-"&amp;AD52</f>
        <v>-да</v>
      </c>
      <c r="Z56" s="1309"/>
      <c r="AA56" s="1309"/>
      <c r="AB56" s="1309"/>
      <c r="AC56" s="1309"/>
      <c r="AD56" s="2129"/>
      <c r="AE56" s="232"/>
      <c r="AF56" s="234"/>
      <c r="AG56" s="350" t="s">
        <v>495</v>
      </c>
      <c r="AH56" s="1309"/>
      <c r="AI56" s="1309"/>
      <c r="AJ56" s="1309"/>
      <c r="AK56" s="1309"/>
      <c r="AL56" s="1309"/>
      <c r="AM56" s="1309"/>
      <c r="AN56" s="1309"/>
      <c r="AO56" s="1309"/>
      <c r="AP56" s="1309"/>
      <c r="AQ56" s="1309"/>
      <c r="AR56" s="1309"/>
      <c r="AS56" s="1309"/>
      <c r="AT56" s="1309"/>
      <c r="AU56" s="1310" t="str">
        <f>AX52&amp;"-"&amp;AZ52</f>
        <v>-</v>
      </c>
      <c r="AV56" s="1309"/>
      <c r="AW56" s="1310" t="str">
        <f>AZ52&amp;"-"&amp;BB52</f>
        <v>-</v>
      </c>
      <c r="AX56" s="1309"/>
      <c r="AY56" s="1309"/>
      <c r="AZ56" s="1309"/>
      <c r="BA56" s="1309"/>
      <c r="BB56" s="1312" t="str">
        <f>BE52&amp;"-"&amp;BG52</f>
        <v>-</v>
      </c>
      <c r="BC56" s="2266"/>
      <c r="BE56" s="426"/>
      <c r="BF56" s="426" t="str">
        <f t="shared" ref="BF56:BF63" si="4">IF(T56="","",T56)</f>
        <v/>
      </c>
      <c r="BG56" s="426"/>
      <c r="BH56" s="426"/>
    </row>
    <row r="57" spans="1:60" ht="11.25" customHeight="1">
      <c r="A57" s="1279" t="s">
        <v>235</v>
      </c>
      <c r="B57" s="1279" t="s">
        <v>236</v>
      </c>
      <c r="C57" s="1279" t="s">
        <v>237</v>
      </c>
      <c r="D57" s="1279" t="s">
        <v>505</v>
      </c>
      <c r="E57" s="2271"/>
      <c r="F57" s="2271"/>
      <c r="G57" s="2271"/>
      <c r="H57" s="2271"/>
      <c r="I57" s="2291"/>
      <c r="J57" s="2268"/>
      <c r="K57" s="1279"/>
      <c r="L57" s="1280"/>
      <c r="P57" s="2269"/>
      <c r="Q57" s="2269"/>
      <c r="R57" s="281"/>
      <c r="S57" s="1198"/>
      <c r="T57" s="205" t="s">
        <v>455</v>
      </c>
      <c r="U57" s="295"/>
      <c r="V57" s="295"/>
      <c r="W57" s="295"/>
      <c r="X57" s="295"/>
      <c r="Y57" s="295"/>
      <c r="Z57" s="295"/>
      <c r="AA57" s="295"/>
      <c r="AB57" s="295"/>
      <c r="AC57" s="249"/>
      <c r="AD57" s="1415"/>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49"/>
      <c r="BC57" s="2267"/>
      <c r="BE57" s="426"/>
      <c r="BF57" s="426" t="str">
        <f t="shared" si="4"/>
        <v>Добавить строку</v>
      </c>
      <c r="BG57" s="426"/>
      <c r="BH57" s="426"/>
    </row>
    <row r="58" spans="1:60" s="1820" customFormat="1" ht="0" hidden="1" customHeight="1">
      <c r="A58" s="1260" t="s">
        <v>235</v>
      </c>
      <c r="B58" s="1260" t="s">
        <v>236</v>
      </c>
      <c r="C58" s="1260" t="s">
        <v>237</v>
      </c>
      <c r="D58" s="1260" t="s">
        <v>505</v>
      </c>
      <c r="E58" s="2271"/>
      <c r="F58" s="2271"/>
      <c r="G58" s="2271"/>
      <c r="H58" s="2271"/>
      <c r="I58" s="2268"/>
      <c r="J58" s="1260"/>
      <c r="K58" s="1260"/>
      <c r="L58" s="1263"/>
      <c r="M58" s="436"/>
      <c r="N58" s="436"/>
      <c r="O58" s="436"/>
      <c r="P58" s="2269"/>
      <c r="Q58" s="1374"/>
      <c r="R58" s="281"/>
      <c r="S58" s="1302"/>
      <c r="T58" s="1303"/>
      <c r="U58" s="1304"/>
      <c r="V58" s="1304"/>
      <c r="W58" s="1304"/>
      <c r="X58" s="1304"/>
      <c r="Y58" s="1304"/>
      <c r="Z58" s="1304"/>
      <c r="AA58" s="1304"/>
      <c r="AB58" s="1304"/>
      <c r="AC58" s="1304"/>
      <c r="AD58" s="1304"/>
      <c r="AE58" s="1304"/>
      <c r="AF58" s="1304"/>
      <c r="AG58" s="1304"/>
      <c r="AH58" s="1304"/>
      <c r="AI58" s="1304"/>
      <c r="AJ58" s="1304"/>
      <c r="AK58" s="1304"/>
      <c r="AL58" s="1304"/>
      <c r="AM58" s="1304"/>
      <c r="AN58" s="1304"/>
      <c r="AO58" s="1304"/>
      <c r="AP58" s="1304"/>
      <c r="AQ58" s="1304"/>
      <c r="AR58" s="1304"/>
      <c r="AS58" s="1304"/>
      <c r="AT58" s="1304"/>
      <c r="AU58" s="1304"/>
      <c r="AV58" s="1304"/>
      <c r="AW58" s="1304"/>
      <c r="AX58" s="1304"/>
      <c r="AY58" s="1304"/>
      <c r="AZ58" s="1304"/>
      <c r="BA58" s="1304"/>
      <c r="BB58" s="1304"/>
      <c r="BC58" s="1305"/>
      <c r="BE58" s="426"/>
      <c r="BF58" s="426" t="str">
        <f t="shared" si="4"/>
        <v/>
      </c>
      <c r="BG58" s="426"/>
      <c r="BH58" s="426"/>
    </row>
    <row r="59" spans="1:60" s="1820" customFormat="1" ht="0" hidden="1" customHeight="1">
      <c r="A59" s="1260" t="s">
        <v>235</v>
      </c>
      <c r="B59" s="1260" t="s">
        <v>236</v>
      </c>
      <c r="C59" s="1260" t="s">
        <v>237</v>
      </c>
      <c r="D59" s="1260" t="s">
        <v>505</v>
      </c>
      <c r="E59" s="2271"/>
      <c r="F59" s="2271"/>
      <c r="G59" s="2271"/>
      <c r="H59" s="2270"/>
      <c r="I59" s="1260"/>
      <c r="J59" s="1260"/>
      <c r="K59" s="1260"/>
      <c r="L59" s="1263"/>
      <c r="M59" s="1233"/>
      <c r="N59" s="1233"/>
      <c r="O59" s="444"/>
      <c r="P59" s="313"/>
      <c r="Q59" s="1261"/>
      <c r="R59" s="1317"/>
      <c r="S59" s="1302"/>
      <c r="T59" s="1303"/>
      <c r="U59" s="1304"/>
      <c r="V59" s="1304"/>
      <c r="W59" s="1304"/>
      <c r="X59" s="1304"/>
      <c r="Y59" s="1304"/>
      <c r="Z59" s="1304"/>
      <c r="AA59" s="1304"/>
      <c r="AB59" s="1304"/>
      <c r="AC59" s="1304"/>
      <c r="AD59" s="1304"/>
      <c r="AE59" s="1304"/>
      <c r="AF59" s="1304"/>
      <c r="AG59" s="1304"/>
      <c r="AH59" s="1304"/>
      <c r="AI59" s="1304"/>
      <c r="AJ59" s="1304"/>
      <c r="AK59" s="1304"/>
      <c r="AL59" s="1304"/>
      <c r="AM59" s="1304"/>
      <c r="AN59" s="1304"/>
      <c r="AO59" s="1304"/>
      <c r="AP59" s="1304"/>
      <c r="AQ59" s="1304"/>
      <c r="AR59" s="1304"/>
      <c r="AS59" s="1304"/>
      <c r="AT59" s="1304"/>
      <c r="AU59" s="1304"/>
      <c r="AV59" s="1304"/>
      <c r="AW59" s="1304"/>
      <c r="AX59" s="1304"/>
      <c r="AY59" s="1304"/>
      <c r="AZ59" s="1304"/>
      <c r="BA59" s="1304"/>
      <c r="BB59" s="1304"/>
      <c r="BC59" s="1305"/>
      <c r="BE59" s="426"/>
      <c r="BF59" s="426" t="str">
        <f t="shared" si="4"/>
        <v/>
      </c>
      <c r="BG59" s="426"/>
      <c r="BH59" s="426"/>
    </row>
    <row r="60" spans="1:60" s="1930" customFormat="1" ht="0" hidden="1" customHeight="1">
      <c r="A60" s="1260" t="s">
        <v>235</v>
      </c>
      <c r="B60" s="1260" t="s">
        <v>236</v>
      </c>
      <c r="C60" s="1260" t="s">
        <v>237</v>
      </c>
      <c r="D60" s="1232"/>
      <c r="E60" s="2271"/>
      <c r="F60" s="2271"/>
      <c r="G60" s="2270"/>
      <c r="H60" s="1232"/>
      <c r="I60" s="1232"/>
      <c r="J60" s="1232"/>
      <c r="K60" s="1232"/>
      <c r="L60" s="1376"/>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06"/>
      <c r="BF60" s="706" t="str">
        <f t="shared" si="4"/>
        <v/>
      </c>
      <c r="BG60" s="706"/>
      <c r="BH60" s="706"/>
    </row>
    <row r="61" spans="1:60" s="1930" customFormat="1" ht="0" hidden="1" customHeight="1">
      <c r="A61" s="1260" t="s">
        <v>235</v>
      </c>
      <c r="B61" s="1260" t="s">
        <v>236</v>
      </c>
      <c r="C61" s="1232"/>
      <c r="D61" s="1232"/>
      <c r="E61" s="2271"/>
      <c r="F61" s="2270"/>
      <c r="G61" s="1232"/>
      <c r="H61" s="1232"/>
      <c r="I61" s="1232"/>
      <c r="J61" s="1232"/>
      <c r="K61" s="1232"/>
      <c r="L61" s="1376"/>
      <c r="M61" s="1239"/>
      <c r="N61" s="1239"/>
      <c r="P61" s="1234"/>
      <c r="Q61" s="1235"/>
      <c r="R61" s="1234"/>
      <c r="S61" s="1240"/>
      <c r="T61" s="1243" t="s">
        <v>215</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06"/>
      <c r="BF61" s="706" t="str">
        <f t="shared" si="4"/>
        <v>Добавить централизованную систему для дифференциации</v>
      </c>
      <c r="BG61" s="706"/>
      <c r="BH61" s="706"/>
    </row>
    <row r="62" spans="1:60" s="1820" customFormat="1" ht="0" hidden="1" customHeight="1">
      <c r="A62" s="1260" t="s">
        <v>235</v>
      </c>
      <c r="B62" s="1260"/>
      <c r="C62" s="1260"/>
      <c r="D62" s="1260"/>
      <c r="E62" s="2270"/>
      <c r="F62" s="1260"/>
      <c r="G62" s="1260"/>
      <c r="H62" s="1260"/>
      <c r="I62" s="1260"/>
      <c r="J62" s="1260"/>
      <c r="K62" s="1260"/>
      <c r="L62" s="1263"/>
      <c r="M62" s="1239"/>
      <c r="N62" s="1239"/>
      <c r="O62" s="444"/>
      <c r="P62" s="313"/>
      <c r="Q62" s="1261"/>
      <c r="R62" s="313"/>
      <c r="S62" s="1240"/>
      <c r="T62" s="1243" t="s">
        <v>216</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26"/>
      <c r="BF62" s="426" t="str">
        <f t="shared" si="4"/>
        <v>Добавить территорию для дифференциации</v>
      </c>
      <c r="BG62" s="426"/>
      <c r="BH62" s="426"/>
    </row>
    <row r="63" spans="1:60" s="1930" customFormat="1" ht="0" hidden="1" customHeight="1">
      <c r="A63" s="1232"/>
      <c r="B63" s="1232"/>
      <c r="C63" s="1232"/>
      <c r="D63" s="1232"/>
      <c r="E63" s="1260"/>
      <c r="F63" s="1232"/>
      <c r="G63" s="1232"/>
      <c r="H63" s="1232"/>
      <c r="I63" s="1232"/>
      <c r="J63" s="1232"/>
      <c r="K63" s="1232"/>
      <c r="L63" s="1376"/>
      <c r="M63" s="1239"/>
      <c r="N63" s="1239"/>
      <c r="P63" s="1234"/>
      <c r="Q63" s="1235"/>
      <c r="R63" s="1234"/>
      <c r="S63" s="1240"/>
      <c r="T63" s="1243" t="s">
        <v>217</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06"/>
      <c r="BF63" s="706" t="str">
        <f t="shared" si="4"/>
        <v>Добавить наименование тарифа</v>
      </c>
      <c r="BG63" s="706"/>
      <c r="BH63" s="706"/>
    </row>
    <row r="64" spans="1:60" ht="11.25" customHeight="1">
      <c r="M64" s="1060"/>
      <c r="N64" s="1060"/>
      <c r="O64" s="462"/>
      <c r="P64" s="1060"/>
      <c r="Q64" s="1060"/>
      <c r="R64" s="1055"/>
      <c r="S64" s="1055"/>
      <c r="BD64" s="1055"/>
      <c r="BE64" s="1055"/>
      <c r="BF64" s="1055"/>
      <c r="BG64" s="1055"/>
      <c r="BH64" s="1055"/>
    </row>
    <row r="65" spans="15:55" ht="18.75" customHeight="1">
      <c r="O65" s="462"/>
      <c r="S65" s="1164"/>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row>
    <row r="66" spans="15:55" ht="14.25" customHeight="1">
      <c r="O66" s="462"/>
      <c r="T66" s="1362"/>
      <c r="U66" s="1362"/>
      <c r="V66" s="1362"/>
      <c r="W66" s="1362"/>
      <c r="X66" s="1362"/>
      <c r="Y66" s="1362"/>
      <c r="Z66" s="1362"/>
      <c r="AA66" s="1362"/>
      <c r="AB66" s="1362"/>
      <c r="AC66" s="1362"/>
      <c r="AD66" s="1362"/>
      <c r="AE66" s="1362"/>
      <c r="AF66" s="1362"/>
      <c r="AG66" s="1362"/>
      <c r="AH66" s="1362"/>
      <c r="AI66" s="1362"/>
      <c r="AJ66" s="1362"/>
      <c r="AK66" s="1362"/>
      <c r="AL66" s="1362"/>
      <c r="AM66" s="1362"/>
      <c r="AN66" s="1362"/>
      <c r="AO66" s="1362"/>
      <c r="AP66" s="1362"/>
      <c r="AQ66" s="1362"/>
      <c r="AR66" s="1362"/>
      <c r="AS66" s="1362"/>
      <c r="AT66" s="1362"/>
      <c r="AU66" s="1362"/>
      <c r="AV66" s="1362"/>
      <c r="AW66" s="1362"/>
      <c r="AX66" s="1362"/>
      <c r="AY66" s="1362"/>
      <c r="AZ66" s="1362"/>
      <c r="BA66" s="1362"/>
      <c r="BB66" s="1362"/>
      <c r="BC66" s="1362"/>
    </row>
    <row r="67" spans="15:55" ht="18.75" customHeight="1">
      <c r="O67" s="462"/>
      <c r="S67" s="1164"/>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row>
    <row r="68" spans="15:55" ht="14.25" customHeight="1">
      <c r="O68" s="462"/>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6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6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6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6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6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6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6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6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6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DE43C-27AB-EFD8-8D4A-7B85FDB93EF7}">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4.140625" style="1931" hidden="1" customWidth="1"/>
    <col min="10" max="10" width="9.85546875" style="1931" hidden="1" customWidth="1"/>
    <col min="11" max="11" width="14.7109375" style="1931" hidden="1" customWidth="1"/>
    <col min="12" max="12" width="19.140625" style="2008" hidden="1" customWidth="1"/>
    <col min="13" max="14" width="12.28515625" style="1933" hidden="1" customWidth="1"/>
    <col min="15" max="15" width="23.42578125" style="1933" hidden="1" customWidth="1"/>
    <col min="16" max="16" width="3.7109375" style="2009" customWidth="1"/>
    <col min="17" max="18" width="3.7109375" style="1939" customWidth="1"/>
    <col min="19" max="19" width="12.7109375" style="1940" customWidth="1"/>
    <col min="20" max="20" width="35.7109375" style="1905" customWidth="1"/>
    <col min="21" max="21" width="0.140625" style="1905" customWidth="1"/>
    <col min="22" max="24" width="24.7109375" style="1905" hidden="1" customWidth="1"/>
    <col min="25" max="25" width="11.7109375" style="1905" hidden="1" customWidth="1"/>
    <col min="26" max="26" width="3.7109375" style="1905" hidden="1" customWidth="1"/>
    <col min="27" max="27" width="11.7109375" style="1905" hidden="1" customWidth="1"/>
    <col min="28" max="28" width="8.5703125" style="1905" hidden="1" customWidth="1"/>
    <col min="29" max="31" width="24.7109375" style="1905" customWidth="1"/>
    <col min="32" max="32" width="11.7109375" style="1905" customWidth="1"/>
    <col min="33" max="33" width="3.7109375" style="1905" customWidth="1"/>
    <col min="34" max="34" width="11.7109375" style="1905" customWidth="1"/>
    <col min="35" max="35" width="8.5703125" style="1905" hidden="1" customWidth="1"/>
    <col min="36" max="36" width="4.7109375" style="1905" customWidth="1"/>
    <col min="37" max="37" width="115.7109375" style="1905" customWidth="1"/>
    <col min="38" max="39" width="10.5703125" style="1820"/>
    <col min="40" max="40" width="11.140625" style="1820" customWidth="1"/>
    <col min="41" max="42" width="10.5703125" style="1820"/>
  </cols>
  <sheetData>
    <row r="1" spans="1:42" ht="14.25" hidden="1" customHeight="1">
      <c r="X1" s="253"/>
      <c r="Y1" s="253"/>
      <c r="AE1" s="253"/>
      <c r="AF1" s="253"/>
    </row>
    <row r="2" spans="1:42" ht="23.25" hidden="1" customHeight="1">
      <c r="A2" s="1279"/>
      <c r="B2" s="1279"/>
      <c r="C2" s="1279"/>
      <c r="D2" s="1279"/>
      <c r="E2" s="2270">
        <v>1</v>
      </c>
      <c r="F2" s="1279"/>
      <c r="G2" s="1279"/>
      <c r="H2" s="1279"/>
      <c r="I2" s="1279"/>
      <c r="J2" s="1279"/>
      <c r="K2" s="1279"/>
      <c r="L2" s="1280"/>
      <c r="M2" s="1281"/>
      <c r="N2" s="1281"/>
      <c r="O2" s="1281"/>
      <c r="P2" s="286"/>
      <c r="Q2" s="285"/>
      <c r="R2" s="280"/>
      <c r="S2" s="1403" t="e">
        <f>INDEX(PT_DIFFERENTIATION_NUM_NTAR,MATCH(A2,PT_DIFFERENTIATION_NTAR_ID,0))</f>
        <v>#N/A</v>
      </c>
      <c r="T2" s="216" t="s">
        <v>122</v>
      </c>
      <c r="U2" s="218"/>
      <c r="V2" s="2256"/>
      <c r="W2" s="2257"/>
      <c r="X2" s="2257"/>
      <c r="Y2" s="2257"/>
      <c r="Z2" s="2257"/>
      <c r="AA2" s="2257"/>
      <c r="AB2" s="2258"/>
      <c r="AC2" s="2256" t="e">
        <f>INDEX(PT_DIFFERENTIATION_NTAR,MATCH(A2,PT_DIFFERENTIATION_NTAR_ID,0))</f>
        <v>#N/A</v>
      </c>
      <c r="AD2" s="2257"/>
      <c r="AE2" s="2257"/>
      <c r="AF2" s="2257"/>
      <c r="AG2" s="2257"/>
      <c r="AH2" s="2257"/>
      <c r="AI2" s="2257"/>
      <c r="AJ2" s="2258"/>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79"/>
      <c r="B3" s="1279"/>
      <c r="C3" s="1279"/>
      <c r="D3" s="1279"/>
      <c r="E3" s="2271"/>
      <c r="F3" s="2270">
        <v>1</v>
      </c>
      <c r="G3" s="1279"/>
      <c r="H3" s="1279"/>
      <c r="I3" s="1279"/>
      <c r="J3" s="1279"/>
      <c r="K3" s="1279"/>
      <c r="L3" s="1280"/>
      <c r="M3" s="1281"/>
      <c r="N3" s="1281"/>
      <c r="O3" s="1281"/>
      <c r="P3" s="1397"/>
      <c r="Q3" s="277"/>
      <c r="R3" s="278"/>
      <c r="S3" s="1403" t="e">
        <f>INDEX(PT_DIFFERENTIATION_NUM_TER,MATCH(B3,PT_DIFFERENTIATION_TER_ID,0))</f>
        <v>#N/A</v>
      </c>
      <c r="T3" s="228" t="s">
        <v>388</v>
      </c>
      <c r="U3" s="218"/>
      <c r="V3" s="2256"/>
      <c r="W3" s="2257"/>
      <c r="X3" s="2257"/>
      <c r="Y3" s="2257"/>
      <c r="Z3" s="2257"/>
      <c r="AA3" s="2257"/>
      <c r="AB3" s="2258"/>
      <c r="AC3" s="2256" t="e">
        <f>INDEX(PT_DIFFERENTIATION_TER,MATCH(B3,PT_DIFFERENTIATION_TER_ID,0))</f>
        <v>#N/A</v>
      </c>
      <c r="AD3" s="2257"/>
      <c r="AE3" s="2257"/>
      <c r="AF3" s="2257"/>
      <c r="AG3" s="2257"/>
      <c r="AH3" s="2257"/>
      <c r="AI3" s="2257"/>
      <c r="AJ3" s="2258"/>
      <c r="AK3" s="1177" t="s">
        <v>389</v>
      </c>
      <c r="AM3" s="426"/>
      <c r="AN3" s="426" t="str">
        <f t="shared" si="0"/>
        <v>Территория действия тарифа</v>
      </c>
      <c r="AO3" s="426"/>
      <c r="AP3" s="426"/>
    </row>
    <row r="4" spans="1:42" ht="23.25" hidden="1" customHeight="1">
      <c r="A4" s="1279"/>
      <c r="B4" s="1279"/>
      <c r="C4" s="1279"/>
      <c r="D4" s="1279"/>
      <c r="E4" s="2271"/>
      <c r="F4" s="2271"/>
      <c r="G4" s="2270">
        <v>1</v>
      </c>
      <c r="H4" s="1279"/>
      <c r="I4" s="1279"/>
      <c r="J4" s="1279"/>
      <c r="K4" s="1279"/>
      <c r="L4" s="1280"/>
      <c r="M4" s="1281"/>
      <c r="N4" s="1281"/>
      <c r="O4" s="1281"/>
      <c r="P4" s="279"/>
      <c r="Q4" s="277"/>
      <c r="R4" s="278"/>
      <c r="S4" s="1403" t="e">
        <f>INDEX(PT_DIFFERENTIATION_NUM_CS,MATCH(C4,PT_DIFFERENTIATION_CS_ID,0))</f>
        <v>#N/A</v>
      </c>
      <c r="T4" s="229" t="s">
        <v>506</v>
      </c>
      <c r="U4" s="218"/>
      <c r="V4" s="2256"/>
      <c r="W4" s="2257"/>
      <c r="X4" s="2257"/>
      <c r="Y4" s="2257"/>
      <c r="Z4" s="2257"/>
      <c r="AA4" s="2257"/>
      <c r="AB4" s="2258"/>
      <c r="AC4" s="2256" t="e">
        <f>INDEX(PT_DIFFERENTIATION_CS,MATCH(C4,PT_DIFFERENTIATION_CS_ID,0))</f>
        <v>#N/A</v>
      </c>
      <c r="AD4" s="2257"/>
      <c r="AE4" s="2257"/>
      <c r="AF4" s="2257"/>
      <c r="AG4" s="2257"/>
      <c r="AH4" s="2257"/>
      <c r="AI4" s="2257"/>
      <c r="AJ4" s="2258"/>
      <c r="AK4" s="1177" t="s">
        <v>507</v>
      </c>
      <c r="AM4" s="426"/>
      <c r="AN4" s="426" t="str">
        <f t="shared" si="0"/>
        <v>Наименование централизованной системы водоотведения</v>
      </c>
      <c r="AO4" s="426"/>
      <c r="AP4" s="426"/>
    </row>
    <row r="5" spans="1:42" ht="23.25" hidden="1" customHeight="1">
      <c r="A5" s="1279"/>
      <c r="B5" s="1279"/>
      <c r="C5" s="1279"/>
      <c r="D5" s="1279"/>
      <c r="E5" s="2271"/>
      <c r="F5" s="2271"/>
      <c r="G5" s="2271"/>
      <c r="H5" s="2271"/>
      <c r="I5" s="2268" t="e">
        <f>S4&amp;".1"</f>
        <v>#N/A</v>
      </c>
      <c r="J5" s="1279"/>
      <c r="K5" s="1279"/>
      <c r="L5" s="1280"/>
      <c r="P5" s="2269">
        <v>1</v>
      </c>
      <c r="Q5" s="1391"/>
      <c r="R5" s="281"/>
      <c r="S5" s="1403" t="e">
        <f>$I5</f>
        <v>#N/A</v>
      </c>
      <c r="T5" s="203" t="s">
        <v>471</v>
      </c>
      <c r="U5" s="218"/>
      <c r="V5" s="2329"/>
      <c r="W5" s="2330"/>
      <c r="X5" s="2330"/>
      <c r="Y5" s="2330"/>
      <c r="Z5" s="2330"/>
      <c r="AA5" s="2330"/>
      <c r="AB5" s="2331"/>
      <c r="AC5" s="2332"/>
      <c r="AD5" s="2333"/>
      <c r="AE5" s="2333"/>
      <c r="AF5" s="2333"/>
      <c r="AG5" s="2333"/>
      <c r="AH5" s="2333"/>
      <c r="AI5" s="2333"/>
      <c r="AJ5" s="2334"/>
      <c r="AK5" s="1177" t="s">
        <v>472</v>
      </c>
      <c r="AM5" s="426"/>
      <c r="AN5" s="426" t="str">
        <f t="shared" si="0"/>
        <v>Наименование признака дифференциации</v>
      </c>
      <c r="AO5" s="426"/>
      <c r="AP5" s="426"/>
    </row>
    <row r="6" spans="1:42" ht="23.25" hidden="1" customHeight="1">
      <c r="A6" s="1279"/>
      <c r="B6" s="1279"/>
      <c r="C6" s="1279"/>
      <c r="D6" s="1279"/>
      <c r="E6" s="2271"/>
      <c r="F6" s="2271"/>
      <c r="G6" s="2271"/>
      <c r="H6" s="2271"/>
      <c r="I6" s="2291"/>
      <c r="J6" s="2268" t="e">
        <f>I5&amp;".1"</f>
        <v>#N/A</v>
      </c>
      <c r="K6" s="1279"/>
      <c r="L6" s="1280" t="s">
        <v>397</v>
      </c>
      <c r="P6" s="2269"/>
      <c r="Q6" s="2269">
        <v>1</v>
      </c>
      <c r="R6" s="282"/>
      <c r="S6" s="1403" t="e">
        <f>$J6</f>
        <v>#N/A</v>
      </c>
      <c r="T6" s="204" t="s">
        <v>398</v>
      </c>
      <c r="U6" s="218"/>
      <c r="V6" s="2259"/>
      <c r="W6" s="2260"/>
      <c r="X6" s="2260"/>
      <c r="Y6" s="2260"/>
      <c r="Z6" s="2260"/>
      <c r="AA6" s="2260"/>
      <c r="AB6" s="2261"/>
      <c r="AC6" s="2259"/>
      <c r="AD6" s="2260"/>
      <c r="AE6" s="2260"/>
      <c r="AF6" s="2260"/>
      <c r="AG6" s="2260"/>
      <c r="AH6" s="2260"/>
      <c r="AI6" s="2260"/>
      <c r="AJ6" s="2261"/>
      <c r="AK6" s="1226" t="s">
        <v>473</v>
      </c>
      <c r="AM6" s="426"/>
      <c r="AN6" s="426" t="str">
        <f t="shared" si="0"/>
        <v>Группа потребителей</v>
      </c>
      <c r="AO6" s="426"/>
      <c r="AP6" s="426"/>
    </row>
    <row r="7" spans="1:42" ht="23.25" hidden="1" customHeight="1">
      <c r="A7" s="1279"/>
      <c r="B7" s="1279"/>
      <c r="C7" s="1279"/>
      <c r="D7" s="1279"/>
      <c r="E7" s="2271"/>
      <c r="F7" s="2271"/>
      <c r="G7" s="2271"/>
      <c r="H7" s="2271"/>
      <c r="I7" s="2291"/>
      <c r="J7" s="2291"/>
      <c r="K7" s="2268" t="e">
        <f>J6&amp;".1"</f>
        <v>#N/A</v>
      </c>
      <c r="L7" s="1280"/>
      <c r="P7" s="2269"/>
      <c r="Q7" s="2269"/>
      <c r="R7" s="282">
        <v>1</v>
      </c>
      <c r="S7" s="1403" t="e">
        <f>$K7</f>
        <v>#N/A</v>
      </c>
      <c r="T7" s="1352"/>
      <c r="U7" s="218"/>
      <c r="V7" s="668"/>
      <c r="W7" s="668"/>
      <c r="X7" s="1176"/>
      <c r="Y7" s="2273"/>
      <c r="Z7" s="2124" t="s">
        <v>61</v>
      </c>
      <c r="AA7" s="2273"/>
      <c r="AB7" s="2124" t="s">
        <v>61</v>
      </c>
      <c r="AC7" s="668"/>
      <c r="AD7" s="668"/>
      <c r="AE7" s="1176"/>
      <c r="AF7" s="2273"/>
      <c r="AG7" s="2124" t="s">
        <v>61</v>
      </c>
      <c r="AH7" s="2292"/>
      <c r="AI7" s="2124" t="s">
        <v>61</v>
      </c>
      <c r="AJ7" s="1353"/>
      <c r="AK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79"/>
      <c r="B8" s="1279"/>
      <c r="C8" s="1279"/>
      <c r="D8" s="1279"/>
      <c r="E8" s="2271"/>
      <c r="F8" s="2271"/>
      <c r="G8" s="2271"/>
      <c r="H8" s="2271"/>
      <c r="I8" s="2291"/>
      <c r="J8" s="2291"/>
      <c r="K8" s="2268"/>
      <c r="L8" s="1280"/>
      <c r="P8" s="2269"/>
      <c r="Q8" s="2269"/>
      <c r="R8" s="282"/>
      <c r="S8" s="1400"/>
      <c r="T8" s="218"/>
      <c r="U8" s="218"/>
      <c r="V8" s="250"/>
      <c r="W8" s="250"/>
      <c r="X8" s="254" t="str">
        <f>Y7&amp;"-"&amp;AA7</f>
        <v>-</v>
      </c>
      <c r="Y8" s="2274"/>
      <c r="Z8" s="2124"/>
      <c r="AA8" s="2274"/>
      <c r="AB8" s="2124"/>
      <c r="AC8" s="250"/>
      <c r="AD8" s="250"/>
      <c r="AE8" s="254" t="str">
        <f>AF7&amp;"-"&amp;AH7</f>
        <v>-</v>
      </c>
      <c r="AF8" s="2274"/>
      <c r="AG8" s="2124"/>
      <c r="AH8" s="2293"/>
      <c r="AI8" s="2124"/>
      <c r="AJ8" s="1354"/>
      <c r="AK8" s="2328"/>
      <c r="AM8" s="426"/>
      <c r="AN8" s="426" t="str">
        <f t="shared" si="0"/>
        <v/>
      </c>
      <c r="AO8" s="426"/>
      <c r="AP8" s="426"/>
    </row>
    <row r="9" spans="1:42" ht="21" hidden="1" customHeight="1">
      <c r="A9" s="1279"/>
      <c r="B9" s="1279"/>
      <c r="C9" s="1279"/>
      <c r="D9" s="1279"/>
      <c r="E9" s="2271"/>
      <c r="F9" s="2271"/>
      <c r="G9" s="2271"/>
      <c r="H9" s="2271"/>
      <c r="I9" s="2291"/>
      <c r="J9" s="2268"/>
      <c r="K9" s="1279"/>
      <c r="L9" s="1280"/>
      <c r="P9" s="2269"/>
      <c r="Q9" s="2269"/>
      <c r="R9" s="281"/>
      <c r="S9" s="1198"/>
      <c r="T9" s="205" t="s">
        <v>474</v>
      </c>
      <c r="U9" s="295"/>
      <c r="V9" s="295"/>
      <c r="W9" s="295"/>
      <c r="X9" s="295"/>
      <c r="Y9" s="295"/>
      <c r="Z9" s="295"/>
      <c r="AA9" s="295"/>
      <c r="AB9" s="295"/>
      <c r="AC9" s="295"/>
      <c r="AD9" s="295"/>
      <c r="AE9" s="295"/>
      <c r="AF9" s="295"/>
      <c r="AG9" s="295"/>
      <c r="AH9" s="295"/>
      <c r="AI9" s="295"/>
      <c r="AJ9" s="295"/>
      <c r="AK9" s="1177" t="s">
        <v>475</v>
      </c>
      <c r="AM9" s="426"/>
      <c r="AN9" s="426" t="str">
        <f t="shared" si="0"/>
        <v>Добавить значение признака дифференциации</v>
      </c>
      <c r="AO9" s="426"/>
      <c r="AP9" s="426"/>
    </row>
    <row r="10" spans="1:42" ht="21" hidden="1" customHeight="1">
      <c r="A10" s="1279"/>
      <c r="B10" s="1279"/>
      <c r="C10" s="1279"/>
      <c r="D10" s="1279"/>
      <c r="E10" s="2271"/>
      <c r="F10" s="2271"/>
      <c r="G10" s="2271"/>
      <c r="H10" s="2271"/>
      <c r="I10" s="2268"/>
      <c r="J10" s="1279"/>
      <c r="K10" s="1279"/>
      <c r="L10" s="1280"/>
      <c r="P10" s="2269"/>
      <c r="Q10" s="1391"/>
      <c r="R10" s="281"/>
      <c r="S10" s="1198"/>
      <c r="T10" s="292" t="s">
        <v>403</v>
      </c>
      <c r="U10" s="295"/>
      <c r="V10" s="295"/>
      <c r="W10" s="295"/>
      <c r="X10" s="295"/>
      <c r="Y10" s="295"/>
      <c r="Z10" s="295"/>
      <c r="AA10" s="295"/>
      <c r="AB10" s="294"/>
      <c r="AC10" s="295"/>
      <c r="AD10" s="295"/>
      <c r="AE10" s="295"/>
      <c r="AF10" s="295"/>
      <c r="AG10" s="295"/>
      <c r="AH10" s="295"/>
      <c r="AI10" s="294"/>
      <c r="AJ10" s="295"/>
      <c r="AK10" s="1355"/>
      <c r="AM10" s="426"/>
      <c r="AN10" s="426" t="str">
        <f t="shared" si="0"/>
        <v>Добавить группу потребителей</v>
      </c>
      <c r="AO10" s="426"/>
      <c r="AP10" s="426"/>
    </row>
    <row r="11" spans="1:42" ht="21" hidden="1" customHeight="1">
      <c r="A11" s="1279"/>
      <c r="B11" s="1279"/>
      <c r="C11" s="1279"/>
      <c r="D11" s="1279"/>
      <c r="E11" s="2271"/>
      <c r="F11" s="2271"/>
      <c r="G11" s="2271"/>
      <c r="H11" s="2270"/>
      <c r="I11" s="1279"/>
      <c r="J11" s="1279"/>
      <c r="K11" s="1279"/>
      <c r="L11" s="1280"/>
      <c r="M11" s="1281"/>
      <c r="N11" s="1281"/>
      <c r="O11" s="462"/>
      <c r="P11" s="285"/>
      <c r="Q11" s="304"/>
      <c r="R11" s="280"/>
      <c r="S11" s="1198"/>
      <c r="T11" s="300" t="s">
        <v>476</v>
      </c>
      <c r="U11" s="295"/>
      <c r="V11" s="295"/>
      <c r="W11" s="295"/>
      <c r="X11" s="295"/>
      <c r="Y11" s="295"/>
      <c r="Z11" s="295"/>
      <c r="AA11" s="295"/>
      <c r="AB11" s="294"/>
      <c r="AC11" s="295"/>
      <c r="AD11" s="295"/>
      <c r="AE11" s="295"/>
      <c r="AF11" s="295"/>
      <c r="AG11" s="295"/>
      <c r="AH11" s="295"/>
      <c r="AI11" s="294"/>
      <c r="AJ11" s="295"/>
      <c r="AK11" s="221"/>
      <c r="AM11" s="426"/>
      <c r="AN11" s="426" t="str">
        <f t="shared" si="0"/>
        <v>Добавить наименование признака дифференциации</v>
      </c>
      <c r="AO11" s="426"/>
      <c r="AP11" s="426"/>
    </row>
    <row r="12" spans="1:42" s="1930" customFormat="1" ht="14.25" hidden="1" customHeight="1">
      <c r="A12" s="1260"/>
      <c r="B12" s="1260"/>
      <c r="C12" s="1232"/>
      <c r="D12" s="1232"/>
      <c r="E12" s="2271"/>
      <c r="F12" s="2270"/>
      <c r="G12" s="1232"/>
      <c r="H12" s="1232"/>
      <c r="I12" s="1232"/>
      <c r="J12" s="1232"/>
      <c r="K12" s="1232"/>
      <c r="L12" s="1404"/>
      <c r="M12" s="1239"/>
      <c r="N12" s="1239"/>
      <c r="P12" s="1234"/>
      <c r="Q12" s="1235"/>
      <c r="R12" s="1234"/>
      <c r="S12" s="1240"/>
      <c r="T12" s="1243" t="s">
        <v>215</v>
      </c>
      <c r="U12" s="1242"/>
      <c r="V12" s="1242"/>
      <c r="W12" s="1242"/>
      <c r="X12" s="1242"/>
      <c r="Y12" s="1242"/>
      <c r="Z12" s="1242"/>
      <c r="AA12" s="1242"/>
      <c r="AB12" s="1242"/>
      <c r="AC12" s="1242"/>
      <c r="AD12" s="1242"/>
      <c r="AE12" s="1242"/>
      <c r="AF12" s="1242"/>
      <c r="AG12" s="1242"/>
      <c r="AH12" s="1242"/>
      <c r="AI12" s="1242"/>
      <c r="AJ12" s="1242"/>
      <c r="AK12" s="1242"/>
      <c r="AM12" s="706"/>
      <c r="AN12" s="706" t="str">
        <f t="shared" si="0"/>
        <v>Добавить централизованную систему для дифференциации</v>
      </c>
      <c r="AO12" s="706"/>
      <c r="AP12" s="706"/>
    </row>
    <row r="13" spans="1:42" s="1820" customFormat="1" ht="14.25" hidden="1" customHeight="1">
      <c r="A13" s="1260"/>
      <c r="B13" s="1260"/>
      <c r="C13" s="1260"/>
      <c r="D13" s="1260"/>
      <c r="E13" s="2270"/>
      <c r="F13" s="1260"/>
      <c r="G13" s="1260"/>
      <c r="H13" s="1260"/>
      <c r="I13" s="1260"/>
      <c r="J13" s="1260"/>
      <c r="K13" s="1260"/>
      <c r="L13" s="1263"/>
      <c r="M13" s="1239"/>
      <c r="N13" s="1239"/>
      <c r="O13" s="444"/>
      <c r="P13" s="313"/>
      <c r="Q13" s="1261"/>
      <c r="R13" s="313"/>
      <c r="S13" s="1240"/>
      <c r="T13" s="1243" t="s">
        <v>216</v>
      </c>
      <c r="U13" s="1242"/>
      <c r="V13" s="1242"/>
      <c r="W13" s="1242"/>
      <c r="X13" s="1242"/>
      <c r="Y13" s="1242"/>
      <c r="Z13" s="1242"/>
      <c r="AA13" s="1242"/>
      <c r="AB13" s="1242"/>
      <c r="AC13" s="1242"/>
      <c r="AD13" s="1242"/>
      <c r="AE13" s="1242"/>
      <c r="AF13" s="1242"/>
      <c r="AG13" s="1242"/>
      <c r="AH13" s="1242"/>
      <c r="AI13" s="1242"/>
      <c r="AJ13" s="1242"/>
      <c r="AK13" s="1242"/>
      <c r="AM13" s="426"/>
      <c r="AN13" s="426" t="str">
        <f t="shared" si="0"/>
        <v>Добавить территорию для дифференциации</v>
      </c>
      <c r="AO13" s="426"/>
      <c r="AP13" s="426"/>
    </row>
    <row r="14" spans="1:42" ht="14.25" hidden="1" customHeight="1">
      <c r="AB14" s="253"/>
      <c r="AI14" s="253"/>
    </row>
    <row r="15" spans="1:42" ht="14.25" hidden="1" customHeight="1">
      <c r="AC15" s="1276"/>
      <c r="AD15" s="1276"/>
      <c r="AE15" s="1277"/>
      <c r="AF15" s="2275"/>
      <c r="AG15" s="2276" t="s">
        <v>61</v>
      </c>
      <c r="AH15" s="2275"/>
      <c r="AI15" s="2276" t="s">
        <v>61</v>
      </c>
    </row>
    <row r="16" spans="1:42" ht="14.25" hidden="1" customHeight="1">
      <c r="AC16" s="1276"/>
      <c r="AD16" s="1276"/>
      <c r="AE16" s="254" t="str">
        <f>AF15&amp;"-"&amp;AH15</f>
        <v>-</v>
      </c>
      <c r="AF16" s="2276"/>
      <c r="AG16" s="2276"/>
      <c r="AH16" s="2276"/>
      <c r="AI16" s="2276"/>
    </row>
    <row r="17" spans="1:42" ht="14.25" hidden="1" customHeight="1">
      <c r="AI17" s="253"/>
    </row>
    <row r="18" spans="1:42" s="1931" customFormat="1" ht="22.5" hidden="1" customHeight="1">
      <c r="L18" s="1388"/>
      <c r="M18" s="1278"/>
      <c r="N18" s="1278"/>
      <c r="O18" s="1283" t="s">
        <v>406</v>
      </c>
      <c r="P18" s="1278"/>
      <c r="Q18" s="1287"/>
      <c r="R18" s="1287"/>
      <c r="S18" s="648"/>
      <c r="Y18" s="1283"/>
      <c r="AA18" s="1283"/>
      <c r="AB18" s="1282"/>
      <c r="AF18" s="1283"/>
      <c r="AH18" s="1283"/>
      <c r="AI18" s="1282"/>
      <c r="AL18" s="437"/>
      <c r="AM18" s="437"/>
      <c r="AN18" s="437"/>
      <c r="AO18" s="437"/>
      <c r="AP18" s="437"/>
    </row>
    <row r="19" spans="1:42" s="1931" customFormat="1" ht="14.25" hidden="1" customHeight="1">
      <c r="L19" s="1388"/>
      <c r="M19" s="1278"/>
      <c r="N19" s="1278"/>
      <c r="O19" s="1278"/>
      <c r="P19" s="1278"/>
      <c r="Q19" s="1287"/>
      <c r="R19" s="1287"/>
      <c r="S19" s="648"/>
      <c r="AB19" s="1282"/>
      <c r="AI19" s="1282"/>
      <c r="AL19" s="437"/>
      <c r="AM19" s="437"/>
      <c r="AN19" s="437"/>
      <c r="AO19" s="437"/>
      <c r="AP19" s="437"/>
    </row>
    <row r="20" spans="1:42" s="1931" customFormat="1" ht="12" hidden="1" customHeight="1">
      <c r="L20" s="1388"/>
      <c r="M20" s="1278"/>
      <c r="N20" s="1278"/>
      <c r="O20" s="1280" t="s">
        <v>407</v>
      </c>
      <c r="P20" s="1278"/>
      <c r="Q20" s="1356"/>
      <c r="R20" s="1356"/>
      <c r="S20" s="648"/>
      <c r="T20" s="1060" t="s">
        <v>408</v>
      </c>
      <c r="Z20" s="107" t="s">
        <v>409</v>
      </c>
      <c r="AB20" s="107" t="s">
        <v>410</v>
      </c>
      <c r="AC20" s="1060" t="s">
        <v>408</v>
      </c>
      <c r="AG20" s="107" t="s">
        <v>411</v>
      </c>
      <c r="AI20" s="107" t="s">
        <v>410</v>
      </c>
    </row>
    <row r="21" spans="1:42" ht="14.25" hidden="1" customHeight="1">
      <c r="O21" s="1280"/>
    </row>
    <row r="22" spans="1:42" ht="14.25" hidden="1" customHeight="1">
      <c r="O22" s="1280"/>
    </row>
    <row r="23" spans="1:42" ht="14.25" customHeight="1">
      <c r="Q23" s="305"/>
      <c r="R23" s="305"/>
      <c r="S23" s="1195"/>
      <c r="T23" s="290"/>
      <c r="U23" s="290"/>
      <c r="V23" s="435"/>
      <c r="W23" s="435"/>
      <c r="X23" s="435"/>
      <c r="Y23" s="435"/>
      <c r="Z23" s="435"/>
      <c r="AA23" s="435"/>
      <c r="AB23" s="435"/>
      <c r="AC23" s="435"/>
      <c r="AD23" s="435"/>
      <c r="AE23" s="435"/>
      <c r="AF23" s="435"/>
      <c r="AG23" s="435"/>
      <c r="AH23" s="435"/>
      <c r="AI23" s="435"/>
    </row>
    <row r="24" spans="1:42" ht="14.25" customHeight="1">
      <c r="Q24" s="305"/>
      <c r="R24" s="305"/>
      <c r="S24" s="225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4"/>
      <c r="U24" s="2254"/>
      <c r="V24" s="2254"/>
      <c r="W24" s="2254"/>
      <c r="X24" s="2254"/>
      <c r="Y24" s="2254"/>
      <c r="Z24" s="2254"/>
      <c r="AA24" s="2254"/>
      <c r="AB24" s="2254"/>
      <c r="AC24" s="2254"/>
      <c r="AD24" s="2254"/>
      <c r="AE24" s="2254"/>
      <c r="AF24" s="2254"/>
      <c r="AG24" s="2254"/>
      <c r="AH24" s="2254"/>
      <c r="AI24" s="1152"/>
    </row>
    <row r="25" spans="1:42" ht="14.25" customHeight="1">
      <c r="Q25" s="305"/>
      <c r="R25" s="305"/>
      <c r="S25" s="2200" t="str">
        <f>IF(org=0,"Не определено",org)</f>
        <v>ПАО "Юнипро"</v>
      </c>
      <c r="T25" s="2200"/>
      <c r="U25" s="2200"/>
      <c r="V25" s="2200"/>
      <c r="W25" s="2200"/>
      <c r="X25" s="2200"/>
      <c r="Y25" s="2200"/>
      <c r="Z25" s="2200"/>
      <c r="AA25" s="2200"/>
      <c r="AB25" s="2200"/>
      <c r="AC25" s="2200"/>
      <c r="AD25" s="2200"/>
      <c r="AE25" s="2200"/>
      <c r="AF25" s="2200"/>
      <c r="AG25" s="2200"/>
      <c r="AH25" s="2200"/>
      <c r="AI25" s="1152"/>
    </row>
    <row r="26" spans="1:42" ht="14.25" customHeight="1">
      <c r="Q26" s="305"/>
      <c r="R26" s="305"/>
      <c r="S26" s="1195"/>
      <c r="T26" s="290"/>
      <c r="U26" s="290"/>
      <c r="V26" s="246"/>
      <c r="W26" s="246"/>
      <c r="X26" s="246"/>
      <c r="Y26" s="246"/>
      <c r="Z26" s="246"/>
      <c r="AA26" s="246"/>
      <c r="AB26" s="246"/>
      <c r="AC26" s="246"/>
      <c r="AD26" s="246"/>
      <c r="AE26" s="246"/>
      <c r="AF26" s="246"/>
      <c r="AG26" s="246"/>
      <c r="AH26" s="246"/>
      <c r="AI26" s="246"/>
      <c r="AJ26" s="435"/>
    </row>
    <row r="27" spans="1:42" s="1936" customFormat="1" ht="25.5" customHeight="1">
      <c r="A27" s="1284"/>
      <c r="B27" s="1284"/>
      <c r="C27" s="1284"/>
      <c r="D27" s="1284"/>
      <c r="E27" s="1284"/>
      <c r="F27" s="1284"/>
      <c r="G27" s="1284"/>
      <c r="H27" s="1284"/>
      <c r="I27" s="1284"/>
      <c r="J27" s="1284"/>
      <c r="K27" s="1284"/>
      <c r="L27" s="1285"/>
      <c r="M27" s="1284"/>
      <c r="N27" s="1284"/>
      <c r="O27" s="1284"/>
      <c r="S27" s="2262" t="s">
        <v>38</v>
      </c>
      <c r="T27" s="2262"/>
      <c r="U27" s="1288"/>
      <c r="V27" s="2263" t="str">
        <f>IF(TITLE_NAME_OR_PR_CHANGE="",IF(TITLE_NAME_OR_PR="","",TITLE_NAME_OR_PR),TITLE_NAME_OR_PR_CHANGE)</f>
        <v>Министерство тарифной политики Красноярского края</v>
      </c>
      <c r="W27" s="2263"/>
      <c r="X27" s="2263"/>
      <c r="Y27" s="2263"/>
      <c r="Z27" s="2263"/>
      <c r="AA27" s="2263"/>
      <c r="AB27" s="252"/>
      <c r="AC27" s="2263" t="str">
        <f>IF(TITLE_NAME_OR_PR_CHANGE="",IF(TITLE_NAME_OR_PR="","",TITLE_NAME_OR_PR),TITLE_NAME_OR_PR_CHANGE)</f>
        <v>Министерство тарифной политики Красноярского края</v>
      </c>
      <c r="AD27" s="2263"/>
      <c r="AE27" s="2263"/>
      <c r="AF27" s="2263"/>
      <c r="AG27" s="2263"/>
      <c r="AH27" s="2263"/>
      <c r="AI27" s="252"/>
      <c r="AJ27" s="252"/>
      <c r="AK27" s="199"/>
      <c r="AL27" s="296"/>
      <c r="AM27" s="296"/>
      <c r="AN27" s="296"/>
      <c r="AO27" s="296"/>
      <c r="AP27" s="296"/>
    </row>
    <row r="28" spans="1:42" s="1936" customFormat="1" ht="18.75" customHeight="1">
      <c r="A28" s="1284"/>
      <c r="B28" s="1284"/>
      <c r="C28" s="1284"/>
      <c r="D28" s="1284"/>
      <c r="E28" s="1284"/>
      <c r="F28" s="1284"/>
      <c r="G28" s="1284"/>
      <c r="H28" s="1284"/>
      <c r="I28" s="1284"/>
      <c r="J28" s="1284"/>
      <c r="K28" s="1284"/>
      <c r="L28" s="1285"/>
      <c r="M28" s="1284"/>
      <c r="N28" s="1284"/>
      <c r="O28" s="1284"/>
      <c r="S28" s="2262" t="s">
        <v>412</v>
      </c>
      <c r="T28" s="2262"/>
      <c r="U28" s="1288"/>
      <c r="V28" s="2272">
        <f>IF(TITLE_DATE_PR_CHANGE="",IF(TITLE_DATE_PR="","",TITLE_DATE_PR),TITLE_DATE_PR_CHANGE)</f>
        <v>45278.357847222222</v>
      </c>
      <c r="W28" s="2272"/>
      <c r="X28" s="2272"/>
      <c r="Y28" s="2272"/>
      <c r="Z28" s="2272"/>
      <c r="AA28" s="2272"/>
      <c r="AB28" s="252"/>
      <c r="AC28" s="2272">
        <f>IF(TITLE_DATE_PR_CHANGE="",IF(TITLE_DATE_PR="","",TITLE_DATE_PR),TITLE_DATE_PR_CHANGE)</f>
        <v>45278.357847222222</v>
      </c>
      <c r="AD28" s="2272"/>
      <c r="AE28" s="2272"/>
      <c r="AF28" s="2272"/>
      <c r="AG28" s="2272"/>
      <c r="AH28" s="2272"/>
      <c r="AI28" s="252"/>
      <c r="AJ28" s="252"/>
      <c r="AK28" s="199"/>
      <c r="AL28" s="296"/>
      <c r="AM28" s="296"/>
      <c r="AN28" s="296"/>
      <c r="AO28" s="296"/>
      <c r="AP28" s="296"/>
    </row>
    <row r="29" spans="1:42" s="1936" customFormat="1" ht="18.75" customHeight="1">
      <c r="A29" s="1284"/>
      <c r="B29" s="1284"/>
      <c r="C29" s="1284"/>
      <c r="D29" s="1284"/>
      <c r="E29" s="1284"/>
      <c r="F29" s="1284"/>
      <c r="G29" s="1284"/>
      <c r="H29" s="1284"/>
      <c r="I29" s="1284"/>
      <c r="J29" s="1284"/>
      <c r="K29" s="1284"/>
      <c r="L29" s="1285"/>
      <c r="M29" s="1284"/>
      <c r="N29" s="1284"/>
      <c r="O29" s="1284"/>
      <c r="S29" s="2262" t="s">
        <v>413</v>
      </c>
      <c r="T29" s="2262"/>
      <c r="U29" s="1288"/>
      <c r="V29" s="2263" t="str">
        <f>IF(TITLE_NUMBER_PR_CHANGE="",IF(TITLE_NUMBER_PR="","",TITLE_NUMBER_PR),TITLE_NUMBER_PR_CHANGE)</f>
        <v>924-в</v>
      </c>
      <c r="W29" s="2263"/>
      <c r="X29" s="2263"/>
      <c r="Y29" s="2263"/>
      <c r="Z29" s="2263"/>
      <c r="AA29" s="2263"/>
      <c r="AB29" s="252"/>
      <c r="AC29" s="2263" t="str">
        <f>IF(TITLE_NUMBER_PR_CHANGE="",IF(TITLE_NUMBER_PR="","",TITLE_NUMBER_PR),TITLE_NUMBER_PR_CHANGE)</f>
        <v>924-в</v>
      </c>
      <c r="AD29" s="2263"/>
      <c r="AE29" s="2263"/>
      <c r="AF29" s="2263"/>
      <c r="AG29" s="2263"/>
      <c r="AH29" s="2263"/>
      <c r="AI29" s="252"/>
      <c r="AJ29" s="252"/>
      <c r="AK29" s="199"/>
      <c r="AL29" s="296"/>
      <c r="AM29" s="296"/>
      <c r="AN29" s="296"/>
      <c r="AO29" s="296"/>
      <c r="AP29" s="296"/>
    </row>
    <row r="30" spans="1:42" s="1936" customFormat="1" ht="18.75" customHeight="1">
      <c r="A30" s="1284"/>
      <c r="B30" s="1284"/>
      <c r="C30" s="1284"/>
      <c r="D30" s="1284"/>
      <c r="E30" s="1284"/>
      <c r="F30" s="1284"/>
      <c r="G30" s="1284"/>
      <c r="H30" s="1284"/>
      <c r="I30" s="1284"/>
      <c r="J30" s="1284"/>
      <c r="K30" s="1284"/>
      <c r="L30" s="1285"/>
      <c r="M30" s="1284"/>
      <c r="N30" s="1284"/>
      <c r="O30" s="1284"/>
      <c r="S30" s="2262" t="s">
        <v>40</v>
      </c>
      <c r="T30" s="2262"/>
      <c r="U30" s="1288"/>
      <c r="V30" s="2263" t="str">
        <f>IF(TITLE_IST_PUB_CHANGE="",IF(TITLE_IST_PUB="","",TITLE_IST_PUB),TITLE_IST_PUB_CHANGE)</f>
        <v>Официальный интернет-портал правовой информации Красноярского края (http://www.zakon.krskstate.ru/)</v>
      </c>
      <c r="W30" s="2263"/>
      <c r="X30" s="2263"/>
      <c r="Y30" s="2263"/>
      <c r="Z30" s="2263"/>
      <c r="AA30" s="2263"/>
      <c r="AB30" s="252"/>
      <c r="AC30" s="2263" t="str">
        <f>IF(TITLE_IST_PUB_CHANGE="",IF(TITLE_IST_PUB="","",TITLE_IST_PUB),TITLE_IST_PUB_CHANGE)</f>
        <v>Официальный интернет-портал правовой информации Красноярского края (http://www.zakon.krskstate.ru/)</v>
      </c>
      <c r="AD30" s="2263"/>
      <c r="AE30" s="2263"/>
      <c r="AF30" s="2263"/>
      <c r="AG30" s="2263"/>
      <c r="AH30" s="2263"/>
      <c r="AI30" s="252"/>
      <c r="AJ30" s="252"/>
      <c r="AK30" s="199"/>
      <c r="AL30" s="296"/>
      <c r="AM30" s="296"/>
      <c r="AN30" s="296"/>
      <c r="AO30" s="296"/>
      <c r="AP30" s="296"/>
    </row>
    <row r="31" spans="1:42" ht="14.25" hidden="1" customHeight="1">
      <c r="Q31" s="305"/>
      <c r="R31" s="305"/>
      <c r="S31" s="1195"/>
      <c r="T31" s="290"/>
      <c r="U31" s="290"/>
      <c r="V31" s="246"/>
      <c r="W31" s="246"/>
      <c r="X31" s="246"/>
      <c r="Y31" s="246"/>
      <c r="Z31" s="246"/>
      <c r="AA31" s="246"/>
      <c r="AB31" s="246"/>
      <c r="AC31" s="246"/>
      <c r="AD31" s="246"/>
      <c r="AE31" s="246"/>
      <c r="AF31" s="246"/>
      <c r="AG31" s="246"/>
      <c r="AH31" s="246"/>
      <c r="AI31" s="246"/>
      <c r="AJ31" s="435"/>
    </row>
    <row r="32" spans="1:42" s="1936" customFormat="1" ht="18.75" hidden="1" customHeight="1">
      <c r="A32" s="1284"/>
      <c r="B32" s="1284"/>
      <c r="C32" s="1284"/>
      <c r="D32" s="1284"/>
      <c r="E32" s="1284"/>
      <c r="F32" s="1284"/>
      <c r="G32" s="1284"/>
      <c r="H32" s="1284"/>
      <c r="I32" s="1284"/>
      <c r="J32" s="1284"/>
      <c r="K32" s="1284"/>
      <c r="L32" s="1285"/>
      <c r="M32" s="1284"/>
      <c r="N32" s="1284"/>
      <c r="O32" s="1284"/>
      <c r="S32" s="2262" t="s">
        <v>414</v>
      </c>
      <c r="T32" s="2262"/>
      <c r="U32" s="1288"/>
      <c r="V32" s="2272">
        <f>IF(TITLE_DATE_PR_CHANGE="",IF(TITLE_DATE_PR="","",TITLE_DATE_PR),TITLE_DATE_PR_CHANGE)</f>
        <v>45278.357847222222</v>
      </c>
      <c r="W32" s="2272"/>
      <c r="X32" s="2272"/>
      <c r="Y32" s="2272"/>
      <c r="Z32" s="2272"/>
      <c r="AA32" s="2272"/>
      <c r="AB32" s="252"/>
      <c r="AC32" s="2272">
        <f>IF(TITLE_DATE_PR_CHANGE="",IF(TITLE_DATE_PR="","",TITLE_DATE_PR),TITLE_DATE_PR_CHANGE)</f>
        <v>45278.357847222222</v>
      </c>
      <c r="AD32" s="2272"/>
      <c r="AE32" s="2272"/>
      <c r="AF32" s="2272"/>
      <c r="AG32" s="2272"/>
      <c r="AH32" s="2272"/>
      <c r="AI32" s="252"/>
      <c r="AJ32" s="252"/>
      <c r="AK32" s="199"/>
      <c r="AL32" s="296"/>
      <c r="AM32" s="296"/>
      <c r="AN32" s="296"/>
      <c r="AO32" s="296"/>
      <c r="AP32" s="296"/>
    </row>
    <row r="33" spans="1:42" s="1936" customFormat="1" ht="18.75" hidden="1" customHeight="1">
      <c r="A33" s="1284"/>
      <c r="B33" s="1284"/>
      <c r="C33" s="1284"/>
      <c r="D33" s="1284"/>
      <c r="E33" s="1284"/>
      <c r="F33" s="1284"/>
      <c r="G33" s="1284"/>
      <c r="H33" s="1284"/>
      <c r="I33" s="1284"/>
      <c r="J33" s="1284"/>
      <c r="K33" s="1284"/>
      <c r="L33" s="1285"/>
      <c r="M33" s="1284"/>
      <c r="N33" s="1284"/>
      <c r="O33" s="1284"/>
      <c r="S33" s="2262" t="s">
        <v>415</v>
      </c>
      <c r="T33" s="2262"/>
      <c r="U33" s="1288"/>
      <c r="V33" s="2263" t="str">
        <f>IF(TITLE_NUMBER_PR_CHANGE="",IF(TITLE_NUMBER_PR="","",TITLE_NUMBER_PR),TITLE_NUMBER_PR_CHANGE)</f>
        <v>924-в</v>
      </c>
      <c r="W33" s="2263"/>
      <c r="X33" s="2263"/>
      <c r="Y33" s="2263"/>
      <c r="Z33" s="2263"/>
      <c r="AA33" s="2263"/>
      <c r="AB33" s="252"/>
      <c r="AC33" s="2263" t="str">
        <f>IF(TITLE_NUMBER_PR_CHANGE="",IF(TITLE_NUMBER_PR="","",TITLE_NUMBER_PR),TITLE_NUMBER_PR_CHANGE)</f>
        <v>924-в</v>
      </c>
      <c r="AD33" s="2263"/>
      <c r="AE33" s="2263"/>
      <c r="AF33" s="2263"/>
      <c r="AG33" s="2263"/>
      <c r="AH33" s="2263"/>
      <c r="AI33" s="252"/>
      <c r="AJ33" s="252"/>
      <c r="AK33" s="199"/>
      <c r="AL33" s="296"/>
      <c r="AM33" s="296"/>
      <c r="AN33" s="296"/>
      <c r="AO33" s="296"/>
      <c r="AP33" s="296"/>
    </row>
    <row r="34" spans="1:42" s="1936" customFormat="1" ht="0.75" customHeight="1">
      <c r="A34" s="1284"/>
      <c r="B34" s="1284"/>
      <c r="C34" s="1284"/>
      <c r="D34" s="1284"/>
      <c r="E34" s="1284"/>
      <c r="F34" s="1284"/>
      <c r="G34" s="1284"/>
      <c r="H34" s="1284"/>
      <c r="I34" s="1284"/>
      <c r="J34" s="1284"/>
      <c r="K34" s="1284"/>
      <c r="L34" s="1285"/>
      <c r="M34" s="1284"/>
      <c r="N34" s="1284"/>
      <c r="O34" s="1284"/>
      <c r="S34" s="248"/>
      <c r="T34" s="248"/>
      <c r="U34" s="1398"/>
      <c r="V34" s="252"/>
      <c r="W34" s="252"/>
      <c r="X34" s="252"/>
      <c r="Y34" s="252"/>
      <c r="Z34" s="252"/>
      <c r="AA34" s="252"/>
      <c r="AB34" s="197" t="s">
        <v>416</v>
      </c>
      <c r="AC34" s="252"/>
      <c r="AD34" s="252"/>
      <c r="AE34" s="252"/>
      <c r="AF34" s="252"/>
      <c r="AG34" s="252"/>
      <c r="AH34" s="252"/>
      <c r="AI34" s="197" t="s">
        <v>416</v>
      </c>
      <c r="AL34" s="296"/>
      <c r="AM34" s="296"/>
      <c r="AN34" s="296"/>
      <c r="AO34" s="296"/>
      <c r="AP34" s="296"/>
    </row>
    <row r="35" spans="1:42" ht="14.25" customHeight="1">
      <c r="Q35" s="305"/>
      <c r="R35" s="305"/>
      <c r="S35" s="1195"/>
      <c r="T35" s="290"/>
      <c r="U35" s="1153"/>
      <c r="V35" s="2264"/>
      <c r="W35" s="2264"/>
      <c r="X35" s="2264"/>
      <c r="Y35" s="2264"/>
      <c r="Z35" s="2264"/>
      <c r="AA35" s="2264"/>
      <c r="AB35" s="2264"/>
      <c r="AC35" s="2264"/>
      <c r="AD35" s="2264"/>
      <c r="AE35" s="2264"/>
      <c r="AF35" s="2264"/>
      <c r="AG35" s="2264"/>
      <c r="AH35" s="2264"/>
      <c r="AI35" s="2264"/>
    </row>
    <row r="36" spans="1:42" ht="14.25" customHeight="1">
      <c r="Q36" s="305"/>
      <c r="R36" s="305"/>
      <c r="S36" s="2143" t="s">
        <v>289</v>
      </c>
      <c r="T36" s="2143"/>
      <c r="U36" s="2143"/>
      <c r="V36" s="2143"/>
      <c r="W36" s="2143"/>
      <c r="X36" s="2143"/>
      <c r="Y36" s="2143"/>
      <c r="Z36" s="2143"/>
      <c r="AA36" s="2143"/>
      <c r="AB36" s="2143"/>
      <c r="AC36" s="2143"/>
      <c r="AD36" s="2143"/>
      <c r="AE36" s="2143"/>
      <c r="AF36" s="2143"/>
      <c r="AG36" s="2143"/>
      <c r="AH36" s="2143"/>
      <c r="AI36" s="2143"/>
      <c r="AJ36" s="2143"/>
      <c r="AK36" s="2143" t="s">
        <v>290</v>
      </c>
    </row>
    <row r="37" spans="1:42" ht="14.25" customHeight="1">
      <c r="Q37" s="305"/>
      <c r="R37" s="305"/>
      <c r="S37" s="2278" t="s">
        <v>87</v>
      </c>
      <c r="T37" s="2229" t="s">
        <v>417</v>
      </c>
      <c r="U37" s="219"/>
      <c r="V37" s="2279" t="s">
        <v>418</v>
      </c>
      <c r="W37" s="2280"/>
      <c r="X37" s="2280"/>
      <c r="Y37" s="2280"/>
      <c r="Z37" s="2280"/>
      <c r="AA37" s="2281"/>
      <c r="AB37" s="2282" t="s">
        <v>419</v>
      </c>
      <c r="AC37" s="2279" t="s">
        <v>418</v>
      </c>
      <c r="AD37" s="2280"/>
      <c r="AE37" s="2280"/>
      <c r="AF37" s="2280"/>
      <c r="AG37" s="2280"/>
      <c r="AH37" s="2281"/>
      <c r="AI37" s="2282" t="s">
        <v>420</v>
      </c>
      <c r="AJ37" s="2285" t="s">
        <v>421</v>
      </c>
      <c r="AK37" s="2143"/>
    </row>
    <row r="38" spans="1:42" ht="33.75" customHeight="1">
      <c r="Q38" s="305"/>
      <c r="R38" s="305"/>
      <c r="S38" s="2278"/>
      <c r="T38" s="2229"/>
      <c r="U38" s="938"/>
      <c r="V38" s="1393" t="s">
        <v>478</v>
      </c>
      <c r="W38" s="2115" t="s">
        <v>424</v>
      </c>
      <c r="X38" s="2114"/>
      <c r="Y38" s="2115" t="s">
        <v>425</v>
      </c>
      <c r="Z38" s="2120"/>
      <c r="AA38" s="2114"/>
      <c r="AB38" s="2283"/>
      <c r="AC38" s="1393" t="s">
        <v>478</v>
      </c>
      <c r="AD38" s="2115" t="s">
        <v>424</v>
      </c>
      <c r="AE38" s="2114"/>
      <c r="AF38" s="2115" t="s">
        <v>425</v>
      </c>
      <c r="AG38" s="2120"/>
      <c r="AH38" s="2114"/>
      <c r="AI38" s="2283"/>
      <c r="AJ38" s="2286"/>
      <c r="AK38" s="2143"/>
    </row>
    <row r="39" spans="1:42" ht="86.25" customHeight="1">
      <c r="A39" s="1286"/>
      <c r="B39" s="1286" t="s">
        <v>134</v>
      </c>
      <c r="C39" s="1286" t="s">
        <v>135</v>
      </c>
      <c r="D39" s="1286" t="s">
        <v>136</v>
      </c>
      <c r="E39" s="1280" t="s">
        <v>426</v>
      </c>
      <c r="F39" s="1280" t="s">
        <v>427</v>
      </c>
      <c r="G39" s="1280" t="s">
        <v>428</v>
      </c>
      <c r="H39" s="1280"/>
      <c r="I39" s="1280" t="s">
        <v>479</v>
      </c>
      <c r="J39" s="1280" t="s">
        <v>431</v>
      </c>
      <c r="K39" s="1280" t="s">
        <v>480</v>
      </c>
      <c r="L39" s="1280" t="s">
        <v>407</v>
      </c>
      <c r="Q39" s="305"/>
      <c r="R39" s="305"/>
      <c r="S39" s="2278"/>
      <c r="T39" s="2229"/>
      <c r="U39" s="220"/>
      <c r="V39" s="1393" t="s">
        <v>508</v>
      </c>
      <c r="W39" s="1128" t="s">
        <v>509</v>
      </c>
      <c r="X39" s="1128" t="s">
        <v>483</v>
      </c>
      <c r="Y39" s="1399" t="s">
        <v>435</v>
      </c>
      <c r="Z39" s="2238" t="s">
        <v>436</v>
      </c>
      <c r="AA39" s="2240"/>
      <c r="AB39" s="2284"/>
      <c r="AC39" s="1393" t="s">
        <v>508</v>
      </c>
      <c r="AD39" s="1128" t="s">
        <v>509</v>
      </c>
      <c r="AE39" s="1128" t="s">
        <v>483</v>
      </c>
      <c r="AF39" s="1399" t="s">
        <v>435</v>
      </c>
      <c r="AG39" s="2238" t="s">
        <v>436</v>
      </c>
      <c r="AH39" s="2240"/>
      <c r="AI39" s="2284"/>
      <c r="AJ39" s="2287"/>
      <c r="AK39" s="2143"/>
    </row>
    <row r="40" spans="1:42" s="1819" customFormat="1" ht="11.25"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108</v>
      </c>
      <c r="T40" s="1172" t="s">
        <v>109</v>
      </c>
      <c r="U40" s="1154" t="str">
        <f ca="1">OFFSET(U40,0,-1)</f>
        <v>2</v>
      </c>
      <c r="V40" s="1392">
        <f ca="1">OFFSET(V40,0,-1)+1</f>
        <v>3</v>
      </c>
      <c r="W40" s="1392">
        <f ca="1">OFFSET(W40,0,-1)+1</f>
        <v>4</v>
      </c>
      <c r="X40" s="1392">
        <f ca="1">OFFSET(X40,0,-1)+1</f>
        <v>5</v>
      </c>
      <c r="Y40" s="1392">
        <f ca="1">OFFSET(Y40,0,-1)+1</f>
        <v>6</v>
      </c>
      <c r="Z40" s="2277">
        <f ca="1">OFFSET(Z40,0,-1)+1</f>
        <v>7</v>
      </c>
      <c r="AA40" s="2277"/>
      <c r="AB40" s="1392">
        <f ca="1">OFFSET(AB40,0,-2)+1</f>
        <v>8</v>
      </c>
      <c r="AC40" s="1392">
        <f ca="1">OFFSET(AC40,0,-1)+1</f>
        <v>9</v>
      </c>
      <c r="AD40" s="1392">
        <f ca="1">OFFSET(AD40,0,-1)+1</f>
        <v>10</v>
      </c>
      <c r="AE40" s="1392">
        <f ca="1">OFFSET(AE40,0,-1)+1</f>
        <v>11</v>
      </c>
      <c r="AF40" s="1392">
        <f ca="1">OFFSET(AF40,0,-1)+1</f>
        <v>12</v>
      </c>
      <c r="AG40" s="2277">
        <f ca="1">OFFSET(AG40,0,-1)+1</f>
        <v>13</v>
      </c>
      <c r="AH40" s="2277"/>
      <c r="AI40" s="1392">
        <f ca="1">OFFSET(AI40,0,-2)+1</f>
        <v>14</v>
      </c>
      <c r="AJ40" s="1154">
        <f ca="1">OFFSET(AJ40,0,-1)</f>
        <v>14</v>
      </c>
      <c r="AK40" s="1392">
        <f ca="1">OFFSET(AK40,0,-1)+1</f>
        <v>15</v>
      </c>
      <c r="AL40" s="437"/>
      <c r="AM40" s="437"/>
      <c r="AN40" s="437"/>
      <c r="AO40" s="437"/>
      <c r="AP40" s="437"/>
    </row>
    <row r="41" spans="1:42" ht="23.25" customHeight="1">
      <c r="A41" s="1279" t="s">
        <v>255</v>
      </c>
      <c r="B41" s="1279"/>
      <c r="C41" s="1279"/>
      <c r="D41" s="1279"/>
      <c r="E41" s="2270">
        <v>1</v>
      </c>
      <c r="F41" s="1279"/>
      <c r="G41" s="1279"/>
      <c r="H41" s="1279"/>
      <c r="I41" s="1279"/>
      <c r="J41" s="1279"/>
      <c r="K41" s="1279"/>
      <c r="L41" s="1280"/>
      <c r="M41" s="1281"/>
      <c r="N41" s="1281"/>
      <c r="O41" s="1281"/>
      <c r="P41" s="286"/>
      <c r="Q41" s="285"/>
      <c r="R41" s="280"/>
      <c r="S41" s="1403">
        <f>INDEX(PT_DIFFERENTIATION_NUM_NTAR,MATCH(A41,PT_DIFFERENTIATION_NTAR_ID,0))</f>
        <v>0</v>
      </c>
      <c r="T41" s="216" t="s">
        <v>122</v>
      </c>
      <c r="U41" s="218"/>
      <c r="V41" s="2256"/>
      <c r="W41" s="2257"/>
      <c r="X41" s="2257"/>
      <c r="Y41" s="2257"/>
      <c r="Z41" s="2257"/>
      <c r="AA41" s="2257"/>
      <c r="AB41" s="2258"/>
      <c r="AC41" s="2256" t="str">
        <f>INDEX(PT_DIFFERENTIATION_NTAR,MATCH(A41,PT_DIFFERENTIATION_NTAR_ID,0))</f>
        <v/>
      </c>
      <c r="AD41" s="2257"/>
      <c r="AE41" s="2257"/>
      <c r="AF41" s="2257"/>
      <c r="AG41" s="2257"/>
      <c r="AH41" s="2257"/>
      <c r="AI41" s="2257"/>
      <c r="AJ41" s="2258"/>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79" t="s">
        <v>255</v>
      </c>
      <c r="B42" s="1279" t="s">
        <v>256</v>
      </c>
      <c r="C42" s="1279"/>
      <c r="D42" s="1279"/>
      <c r="E42" s="2271"/>
      <c r="F42" s="2270">
        <v>1</v>
      </c>
      <c r="G42" s="1279"/>
      <c r="H42" s="1279"/>
      <c r="I42" s="1279"/>
      <c r="J42" s="1279"/>
      <c r="K42" s="1279"/>
      <c r="L42" s="1280"/>
      <c r="M42" s="1281"/>
      <c r="N42" s="1281"/>
      <c r="O42" s="1281"/>
      <c r="P42" s="1397"/>
      <c r="Q42" s="277"/>
      <c r="R42" s="278"/>
      <c r="S42" s="1403" t="str">
        <f>INDEX(PT_DIFFERENTIATION_NUM_TER,MATCH(B42,PT_DIFFERENTIATION_TER_ID,0))</f>
        <v>.</v>
      </c>
      <c r="T42" s="228" t="s">
        <v>388</v>
      </c>
      <c r="U42" s="218"/>
      <c r="V42" s="2256"/>
      <c r="W42" s="2257"/>
      <c r="X42" s="2257"/>
      <c r="Y42" s="2257"/>
      <c r="Z42" s="2257"/>
      <c r="AA42" s="2257"/>
      <c r="AB42" s="2258"/>
      <c r="AC42" s="2256" t="str">
        <f>INDEX(PT_DIFFERENTIATION_TER,MATCH(B42,PT_DIFFERENTIATION_TER_ID,0))</f>
        <v/>
      </c>
      <c r="AD42" s="2257"/>
      <c r="AE42" s="2257"/>
      <c r="AF42" s="2257"/>
      <c r="AG42" s="2257"/>
      <c r="AH42" s="2257"/>
      <c r="AI42" s="2257"/>
      <c r="AJ42" s="2258"/>
      <c r="AK42" s="1177" t="s">
        <v>389</v>
      </c>
      <c r="AM42" s="426"/>
      <c r="AN42" s="426" t="str">
        <f t="shared" si="1"/>
        <v>Территория действия тарифа</v>
      </c>
      <c r="AO42" s="426"/>
      <c r="AP42" s="426"/>
    </row>
    <row r="43" spans="1:42" ht="23.25" customHeight="1">
      <c r="A43" s="1279" t="s">
        <v>255</v>
      </c>
      <c r="B43" s="1279" t="s">
        <v>256</v>
      </c>
      <c r="C43" s="1279" t="s">
        <v>257</v>
      </c>
      <c r="D43" s="1279"/>
      <c r="E43" s="2271"/>
      <c r="F43" s="2271"/>
      <c r="G43" s="2270">
        <v>1</v>
      </c>
      <c r="H43" s="1279"/>
      <c r="I43" s="1279"/>
      <c r="J43" s="1279"/>
      <c r="K43" s="1279"/>
      <c r="L43" s="1280"/>
      <c r="M43" s="1281"/>
      <c r="N43" s="1281"/>
      <c r="O43" s="1281"/>
      <c r="P43" s="279"/>
      <c r="Q43" s="277"/>
      <c r="R43" s="278"/>
      <c r="S43" s="1403" t="str">
        <f>INDEX(PT_DIFFERENTIATION_NUM_CS,MATCH(C43,PT_DIFFERENTIATION_CS_ID,0))</f>
        <v>..</v>
      </c>
      <c r="T43" s="229" t="s">
        <v>506</v>
      </c>
      <c r="U43" s="218"/>
      <c r="V43" s="2256"/>
      <c r="W43" s="2257"/>
      <c r="X43" s="2257"/>
      <c r="Y43" s="2257"/>
      <c r="Z43" s="2257"/>
      <c r="AA43" s="2257"/>
      <c r="AB43" s="2258"/>
      <c r="AC43" s="2256" t="str">
        <f>INDEX(PT_DIFFERENTIATION_CS,MATCH(C43,PT_DIFFERENTIATION_CS_ID,0))</f>
        <v/>
      </c>
      <c r="AD43" s="2257"/>
      <c r="AE43" s="2257"/>
      <c r="AF43" s="2257"/>
      <c r="AG43" s="2257"/>
      <c r="AH43" s="2257"/>
      <c r="AI43" s="2257"/>
      <c r="AJ43" s="2258"/>
      <c r="AK43" s="1177" t="s">
        <v>507</v>
      </c>
      <c r="AM43" s="426"/>
      <c r="AN43" s="426" t="str">
        <f t="shared" si="1"/>
        <v>Наименование централизованной системы водоотведения</v>
      </c>
      <c r="AO43" s="426"/>
      <c r="AP43" s="426"/>
    </row>
    <row r="44" spans="1:42" ht="23.25" customHeight="1">
      <c r="A44" s="1279" t="s">
        <v>255</v>
      </c>
      <c r="B44" s="1279" t="s">
        <v>256</v>
      </c>
      <c r="C44" s="1279" t="s">
        <v>257</v>
      </c>
      <c r="D44" s="1279" t="s">
        <v>510</v>
      </c>
      <c r="E44" s="2271"/>
      <c r="F44" s="2271"/>
      <c r="G44" s="2271"/>
      <c r="H44" s="2271"/>
      <c r="I44" s="2268" t="str">
        <f>S43&amp;".1"</f>
        <v>...1</v>
      </c>
      <c r="J44" s="1279"/>
      <c r="K44" s="1279"/>
      <c r="L44" s="1280"/>
      <c r="P44" s="2269">
        <v>1</v>
      </c>
      <c r="Q44" s="1391"/>
      <c r="R44" s="281"/>
      <c r="S44" s="1403" t="str">
        <f>$I44</f>
        <v>...1</v>
      </c>
      <c r="T44" s="203" t="s">
        <v>471</v>
      </c>
      <c r="U44" s="218"/>
      <c r="V44" s="2329"/>
      <c r="W44" s="2330"/>
      <c r="X44" s="2330"/>
      <c r="Y44" s="2330"/>
      <c r="Z44" s="2330"/>
      <c r="AA44" s="2330"/>
      <c r="AB44" s="2331"/>
      <c r="AC44" s="2332"/>
      <c r="AD44" s="2333"/>
      <c r="AE44" s="2333"/>
      <c r="AF44" s="2333"/>
      <c r="AG44" s="2333"/>
      <c r="AH44" s="2333"/>
      <c r="AI44" s="2333"/>
      <c r="AJ44" s="2334"/>
      <c r="AK44" s="1177" t="s">
        <v>472</v>
      </c>
      <c r="AM44" s="426"/>
      <c r="AN44" s="426" t="str">
        <f t="shared" si="1"/>
        <v>Наименование признака дифференциации</v>
      </c>
      <c r="AO44" s="426"/>
      <c r="AP44" s="426"/>
    </row>
    <row r="45" spans="1:42" ht="23.25" customHeight="1">
      <c r="A45" s="1279" t="s">
        <v>255</v>
      </c>
      <c r="B45" s="1279" t="s">
        <v>256</v>
      </c>
      <c r="C45" s="1279" t="s">
        <v>257</v>
      </c>
      <c r="D45" s="1279" t="s">
        <v>510</v>
      </c>
      <c r="E45" s="2271"/>
      <c r="F45" s="2271"/>
      <c r="G45" s="2271"/>
      <c r="H45" s="2271"/>
      <c r="I45" s="2291"/>
      <c r="J45" s="2268" t="str">
        <f>I44&amp;".1"</f>
        <v>...1.1</v>
      </c>
      <c r="K45" s="1279"/>
      <c r="L45" s="1280" t="s">
        <v>397</v>
      </c>
      <c r="P45" s="2269"/>
      <c r="Q45" s="2269">
        <v>1</v>
      </c>
      <c r="R45" s="282"/>
      <c r="S45" s="1403" t="str">
        <f>$J45</f>
        <v>...1.1</v>
      </c>
      <c r="T45" s="204" t="s">
        <v>398</v>
      </c>
      <c r="U45" s="218"/>
      <c r="V45" s="2259"/>
      <c r="W45" s="2260"/>
      <c r="X45" s="2260"/>
      <c r="Y45" s="2260"/>
      <c r="Z45" s="2260"/>
      <c r="AA45" s="2260"/>
      <c r="AB45" s="2261"/>
      <c r="AC45" s="2259"/>
      <c r="AD45" s="2260"/>
      <c r="AE45" s="2260"/>
      <c r="AF45" s="2260"/>
      <c r="AG45" s="2260"/>
      <c r="AH45" s="2260"/>
      <c r="AI45" s="2260"/>
      <c r="AJ45" s="2261"/>
      <c r="AK45" s="1226" t="s">
        <v>473</v>
      </c>
      <c r="AM45" s="426"/>
      <c r="AN45" s="426" t="str">
        <f t="shared" si="1"/>
        <v>Группа потребителей</v>
      </c>
      <c r="AO45" s="426"/>
      <c r="AP45" s="426"/>
    </row>
    <row r="46" spans="1:42" ht="23.25" customHeight="1">
      <c r="A46" s="1279" t="s">
        <v>255</v>
      </c>
      <c r="B46" s="1279" t="s">
        <v>256</v>
      </c>
      <c r="C46" s="1279" t="s">
        <v>257</v>
      </c>
      <c r="D46" s="1279" t="s">
        <v>510</v>
      </c>
      <c r="E46" s="2271"/>
      <c r="F46" s="2271"/>
      <c r="G46" s="2271"/>
      <c r="H46" s="2271"/>
      <c r="I46" s="2291"/>
      <c r="J46" s="2291"/>
      <c r="K46" s="2268" t="str">
        <f>J45&amp;".1"</f>
        <v>...1.1.1</v>
      </c>
      <c r="L46" s="1280"/>
      <c r="P46" s="2269"/>
      <c r="Q46" s="2269"/>
      <c r="R46" s="282">
        <v>1</v>
      </c>
      <c r="S46" s="1403" t="str">
        <f>$K46</f>
        <v>...1.1.1</v>
      </c>
      <c r="T46" s="1352"/>
      <c r="U46" s="218"/>
      <c r="V46" s="1276"/>
      <c r="W46" s="1276"/>
      <c r="X46" s="1277"/>
      <c r="Y46" s="2275"/>
      <c r="Z46" s="2276" t="s">
        <v>61</v>
      </c>
      <c r="AA46" s="2275"/>
      <c r="AB46" s="2276" t="s">
        <v>61</v>
      </c>
      <c r="AC46" s="668"/>
      <c r="AD46" s="668"/>
      <c r="AE46" s="1176"/>
      <c r="AF46" s="2273"/>
      <c r="AG46" s="2124" t="s">
        <v>61</v>
      </c>
      <c r="AH46" s="2292"/>
      <c r="AI46" s="2124" t="s">
        <v>56</v>
      </c>
      <c r="AJ46" s="1353"/>
      <c r="AK46"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79" t="s">
        <v>255</v>
      </c>
      <c r="B47" s="1279" t="s">
        <v>256</v>
      </c>
      <c r="C47" s="1279" t="s">
        <v>257</v>
      </c>
      <c r="D47" s="1279" t="s">
        <v>510</v>
      </c>
      <c r="E47" s="2271"/>
      <c r="F47" s="2271"/>
      <c r="G47" s="2271"/>
      <c r="H47" s="2271"/>
      <c r="I47" s="2291"/>
      <c r="J47" s="2291"/>
      <c r="K47" s="2268"/>
      <c r="L47" s="1280"/>
      <c r="P47" s="2269"/>
      <c r="Q47" s="2269"/>
      <c r="R47" s="282"/>
      <c r="S47" s="1400"/>
      <c r="T47" s="218"/>
      <c r="U47" s="218"/>
      <c r="V47" s="1276"/>
      <c r="W47" s="1276"/>
      <c r="X47" s="254" t="str">
        <f>Y46&amp;"-"&amp;AA46</f>
        <v>-</v>
      </c>
      <c r="Y47" s="2276"/>
      <c r="Z47" s="2276"/>
      <c r="AA47" s="2276"/>
      <c r="AB47" s="2276"/>
      <c r="AC47" s="250"/>
      <c r="AD47" s="250"/>
      <c r="AE47" s="254" t="str">
        <f>AF46&amp;"-"&amp;AH46</f>
        <v>-</v>
      </c>
      <c r="AF47" s="2274"/>
      <c r="AG47" s="2124"/>
      <c r="AH47" s="2293"/>
      <c r="AI47" s="2124"/>
      <c r="AJ47" s="1354"/>
      <c r="AK47" s="2328"/>
      <c r="AM47" s="426"/>
      <c r="AN47" s="426" t="str">
        <f t="shared" si="1"/>
        <v/>
      </c>
      <c r="AO47" s="426"/>
      <c r="AP47" s="426"/>
    </row>
    <row r="48" spans="1:42" ht="21" customHeight="1">
      <c r="A48" s="1279" t="s">
        <v>255</v>
      </c>
      <c r="B48" s="1279" t="s">
        <v>256</v>
      </c>
      <c r="C48" s="1279" t="s">
        <v>257</v>
      </c>
      <c r="D48" s="1279" t="s">
        <v>510</v>
      </c>
      <c r="E48" s="2271"/>
      <c r="F48" s="2271"/>
      <c r="G48" s="2271"/>
      <c r="H48" s="2271"/>
      <c r="I48" s="2291"/>
      <c r="J48" s="2268"/>
      <c r="K48" s="1279"/>
      <c r="L48" s="1280"/>
      <c r="P48" s="2269"/>
      <c r="Q48" s="2269"/>
      <c r="R48" s="281"/>
      <c r="S48" s="1198"/>
      <c r="T48" s="205" t="s">
        <v>474</v>
      </c>
      <c r="U48" s="295"/>
      <c r="V48" s="295"/>
      <c r="W48" s="295"/>
      <c r="X48" s="295"/>
      <c r="Y48" s="295"/>
      <c r="Z48" s="295"/>
      <c r="AA48" s="295"/>
      <c r="AB48" s="295"/>
      <c r="AC48" s="295"/>
      <c r="AD48" s="295"/>
      <c r="AE48" s="295"/>
      <c r="AF48" s="295"/>
      <c r="AG48" s="295"/>
      <c r="AH48" s="295"/>
      <c r="AI48" s="295"/>
      <c r="AJ48" s="295"/>
      <c r="AK48" s="1177" t="s">
        <v>475</v>
      </c>
      <c r="AM48" s="426"/>
      <c r="AN48" s="426" t="str">
        <f t="shared" si="1"/>
        <v>Добавить значение признака дифференциации</v>
      </c>
      <c r="AO48" s="426"/>
      <c r="AP48" s="426"/>
    </row>
    <row r="49" spans="1:42" ht="21" customHeight="1">
      <c r="A49" s="1279" t="s">
        <v>255</v>
      </c>
      <c r="B49" s="1279" t="s">
        <v>256</v>
      </c>
      <c r="C49" s="1279" t="s">
        <v>257</v>
      </c>
      <c r="D49" s="1279" t="s">
        <v>510</v>
      </c>
      <c r="E49" s="2271"/>
      <c r="F49" s="2271"/>
      <c r="G49" s="2271"/>
      <c r="H49" s="2271"/>
      <c r="I49" s="2268"/>
      <c r="J49" s="1279"/>
      <c r="K49" s="1279"/>
      <c r="L49" s="1280"/>
      <c r="P49" s="2269"/>
      <c r="Q49" s="1391"/>
      <c r="R49" s="281"/>
      <c r="S49" s="1198"/>
      <c r="T49" s="292" t="s">
        <v>403</v>
      </c>
      <c r="U49" s="295"/>
      <c r="V49" s="295"/>
      <c r="W49" s="295"/>
      <c r="X49" s="295"/>
      <c r="Y49" s="295"/>
      <c r="Z49" s="295"/>
      <c r="AA49" s="295"/>
      <c r="AB49" s="294"/>
      <c r="AC49" s="295"/>
      <c r="AD49" s="295"/>
      <c r="AE49" s="295"/>
      <c r="AF49" s="295"/>
      <c r="AG49" s="295"/>
      <c r="AH49" s="295"/>
      <c r="AI49" s="294"/>
      <c r="AJ49" s="295"/>
      <c r="AK49" s="1355"/>
      <c r="AM49" s="426"/>
      <c r="AN49" s="426" t="str">
        <f t="shared" si="1"/>
        <v>Добавить группу потребителей</v>
      </c>
      <c r="AO49" s="426"/>
      <c r="AP49" s="426"/>
    </row>
    <row r="50" spans="1:42" ht="21" customHeight="1">
      <c r="A50" s="1279" t="s">
        <v>255</v>
      </c>
      <c r="B50" s="1279" t="s">
        <v>256</v>
      </c>
      <c r="C50" s="1279" t="s">
        <v>257</v>
      </c>
      <c r="D50" s="1279" t="s">
        <v>510</v>
      </c>
      <c r="E50" s="2271"/>
      <c r="F50" s="2271"/>
      <c r="G50" s="2271"/>
      <c r="H50" s="2270"/>
      <c r="I50" s="1279"/>
      <c r="J50" s="1279"/>
      <c r="K50" s="1279"/>
      <c r="L50" s="1280"/>
      <c r="M50" s="1281"/>
      <c r="N50" s="1281"/>
      <c r="O50" s="462"/>
      <c r="P50" s="285"/>
      <c r="Q50" s="304"/>
      <c r="R50" s="280"/>
      <c r="S50" s="1198"/>
      <c r="T50" s="300" t="s">
        <v>476</v>
      </c>
      <c r="U50" s="295"/>
      <c r="V50" s="295"/>
      <c r="W50" s="295"/>
      <c r="X50" s="295"/>
      <c r="Y50" s="295"/>
      <c r="Z50" s="295"/>
      <c r="AA50" s="295"/>
      <c r="AB50" s="294"/>
      <c r="AC50" s="295"/>
      <c r="AD50" s="295"/>
      <c r="AE50" s="295"/>
      <c r="AF50" s="295"/>
      <c r="AG50" s="295"/>
      <c r="AH50" s="295"/>
      <c r="AI50" s="294"/>
      <c r="AJ50" s="295"/>
      <c r="AK50" s="221"/>
      <c r="AM50" s="426"/>
      <c r="AN50" s="426" t="str">
        <f t="shared" si="1"/>
        <v>Добавить наименование признака дифференциации</v>
      </c>
      <c r="AO50" s="426"/>
      <c r="AP50" s="426"/>
    </row>
    <row r="51" spans="1:42" s="1930" customFormat="1" ht="0" hidden="1" customHeight="1">
      <c r="A51" s="1260" t="s">
        <v>255</v>
      </c>
      <c r="B51" s="1260" t="s">
        <v>256</v>
      </c>
      <c r="C51" s="1232"/>
      <c r="D51" s="1232"/>
      <c r="E51" s="2271"/>
      <c r="F51" s="2270"/>
      <c r="G51" s="1232"/>
      <c r="H51" s="1232"/>
      <c r="I51" s="1232"/>
      <c r="J51" s="1232"/>
      <c r="K51" s="1232"/>
      <c r="L51" s="1404"/>
      <c r="M51" s="1239"/>
      <c r="N51" s="1239"/>
      <c r="P51" s="1234"/>
      <c r="Q51" s="1235"/>
      <c r="R51" s="1234"/>
      <c r="S51" s="1240"/>
      <c r="T51" s="1243" t="s">
        <v>215</v>
      </c>
      <c r="U51" s="1242"/>
      <c r="V51" s="1242"/>
      <c r="W51" s="1242"/>
      <c r="X51" s="1242"/>
      <c r="Y51" s="1242"/>
      <c r="Z51" s="1242"/>
      <c r="AA51" s="1242"/>
      <c r="AB51" s="1242"/>
      <c r="AC51" s="1242"/>
      <c r="AD51" s="1242"/>
      <c r="AE51" s="1242"/>
      <c r="AF51" s="1242"/>
      <c r="AG51" s="1242"/>
      <c r="AH51" s="1242"/>
      <c r="AI51" s="1242"/>
      <c r="AJ51" s="1242"/>
      <c r="AK51" s="1242"/>
      <c r="AM51" s="706"/>
      <c r="AN51" s="706" t="str">
        <f t="shared" si="1"/>
        <v>Добавить централизованную систему для дифференциации</v>
      </c>
      <c r="AO51" s="706"/>
      <c r="AP51" s="706"/>
    </row>
    <row r="52" spans="1:42" s="1820" customFormat="1" ht="0" hidden="1" customHeight="1">
      <c r="A52" s="1260" t="s">
        <v>255</v>
      </c>
      <c r="B52" s="1260"/>
      <c r="C52" s="1260"/>
      <c r="D52" s="1260"/>
      <c r="E52" s="2270"/>
      <c r="F52" s="1260"/>
      <c r="G52" s="1260"/>
      <c r="H52" s="1260"/>
      <c r="I52" s="1260"/>
      <c r="J52" s="1260"/>
      <c r="K52" s="1260"/>
      <c r="L52" s="1263"/>
      <c r="M52" s="1239"/>
      <c r="N52" s="1239"/>
      <c r="O52" s="444"/>
      <c r="P52" s="313"/>
      <c r="Q52" s="1261"/>
      <c r="R52" s="313"/>
      <c r="S52" s="1240"/>
      <c r="T52" s="1243" t="s">
        <v>216</v>
      </c>
      <c r="U52" s="1242"/>
      <c r="V52" s="1242"/>
      <c r="W52" s="1242"/>
      <c r="X52" s="1242"/>
      <c r="Y52" s="1242"/>
      <c r="Z52" s="1242"/>
      <c r="AA52" s="1242"/>
      <c r="AB52" s="1242"/>
      <c r="AC52" s="1242"/>
      <c r="AD52" s="1242"/>
      <c r="AE52" s="1242"/>
      <c r="AF52" s="1242"/>
      <c r="AG52" s="1242"/>
      <c r="AH52" s="1242"/>
      <c r="AI52" s="1242"/>
      <c r="AJ52" s="1242"/>
      <c r="AK52" s="1242"/>
      <c r="AM52" s="426"/>
      <c r="AN52" s="426" t="str">
        <f t="shared" si="1"/>
        <v>Добавить территорию для дифференциации</v>
      </c>
      <c r="AO52" s="426"/>
      <c r="AP52" s="426"/>
    </row>
    <row r="53" spans="1:42" s="1930" customFormat="1" ht="0" hidden="1" customHeight="1">
      <c r="A53" s="1232"/>
      <c r="B53" s="1232"/>
      <c r="C53" s="1232"/>
      <c r="D53" s="1232"/>
      <c r="E53" s="1260"/>
      <c r="F53" s="1232"/>
      <c r="G53" s="1232"/>
      <c r="H53" s="1232"/>
      <c r="I53" s="1232"/>
      <c r="J53" s="1232"/>
      <c r="K53" s="1232"/>
      <c r="L53" s="1404"/>
      <c r="M53" s="1239"/>
      <c r="N53" s="1239"/>
      <c r="P53" s="1234"/>
      <c r="Q53" s="1235"/>
      <c r="R53" s="1234"/>
      <c r="S53" s="1240"/>
      <c r="T53" s="1243" t="s">
        <v>217</v>
      </c>
      <c r="U53" s="1242"/>
      <c r="V53" s="1242"/>
      <c r="W53" s="1242"/>
      <c r="X53" s="1242"/>
      <c r="Y53" s="1242"/>
      <c r="Z53" s="1242"/>
      <c r="AA53" s="1242"/>
      <c r="AB53" s="1242"/>
      <c r="AC53" s="1242"/>
      <c r="AD53" s="1242"/>
      <c r="AE53" s="1242"/>
      <c r="AF53" s="1242"/>
      <c r="AG53" s="1242"/>
      <c r="AH53" s="1242"/>
      <c r="AI53" s="1242"/>
      <c r="AJ53" s="1242"/>
      <c r="AK53" s="1242"/>
      <c r="AM53" s="706"/>
      <c r="AN53" s="706" t="str">
        <f t="shared" si="1"/>
        <v>Добавить наименование тарифа</v>
      </c>
      <c r="AO53" s="706"/>
      <c r="AP53" s="706"/>
    </row>
    <row r="54" spans="1:42" ht="11.25" customHeight="1">
      <c r="M54" s="1060"/>
      <c r="N54" s="1060"/>
      <c r="O54" s="462"/>
      <c r="P54" s="1055"/>
      <c r="Q54" s="1055"/>
      <c r="R54" s="1055"/>
      <c r="S54" s="1055"/>
      <c r="AL54" s="1055"/>
      <c r="AM54" s="1055"/>
      <c r="AN54" s="1055"/>
      <c r="AO54" s="1055"/>
      <c r="AP54" s="1055"/>
    </row>
    <row r="55" spans="1:42" ht="14.25" customHeight="1">
      <c r="O55" s="462"/>
      <c r="S55" s="1164"/>
      <c r="T55" s="2290"/>
      <c r="U55" s="2290"/>
      <c r="V55" s="2290"/>
      <c r="W55" s="2290"/>
      <c r="X55" s="2290"/>
      <c r="Y55" s="2290"/>
      <c r="Z55" s="2290"/>
      <c r="AA55" s="2290"/>
      <c r="AB55" s="2290"/>
      <c r="AC55" s="2290"/>
      <c r="AD55" s="2290"/>
      <c r="AE55" s="2290"/>
      <c r="AF55" s="2290"/>
      <c r="AG55" s="2290"/>
      <c r="AH55" s="2290"/>
      <c r="AI55" s="2290"/>
      <c r="AJ55" s="2290"/>
      <c r="AK55" s="2290"/>
    </row>
    <row r="56" spans="1:42" ht="14.25" customHeight="1">
      <c r="O56" s="462"/>
    </row>
    <row r="57" spans="1:42" ht="14.25" customHeight="1">
      <c r="O57" s="462"/>
      <c r="S57" s="1164"/>
      <c r="T57" s="2290"/>
      <c r="U57" s="2290"/>
      <c r="V57" s="2290"/>
      <c r="W57" s="2290"/>
      <c r="X57" s="2290"/>
      <c r="Y57" s="2290"/>
      <c r="Z57" s="2290"/>
      <c r="AA57" s="2290"/>
      <c r="AB57" s="2290"/>
      <c r="AC57" s="2290"/>
      <c r="AD57" s="2290"/>
      <c r="AE57" s="2290"/>
      <c r="AF57" s="2290"/>
      <c r="AG57" s="2290"/>
      <c r="AH57" s="2290"/>
      <c r="AI57" s="2290"/>
      <c r="AJ57" s="2290"/>
      <c r="AK57" s="229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D9C96-ADCF-8C5B-553D-FC5E8B476CDF}">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4.140625" style="1931" hidden="1" customWidth="1"/>
    <col min="10" max="10" width="9.85546875" style="1931" hidden="1" customWidth="1"/>
    <col min="11" max="11" width="14.7109375" style="1931" hidden="1" customWidth="1"/>
    <col min="12" max="12" width="19.140625" style="2008" hidden="1" customWidth="1"/>
    <col min="13" max="14" width="12.28515625" style="1933" hidden="1" customWidth="1"/>
    <col min="15" max="15" width="23.42578125" style="1933" hidden="1" customWidth="1"/>
    <col min="16" max="16" width="3.7109375" style="2009" customWidth="1"/>
    <col min="17" max="18" width="3.7109375" style="1939" customWidth="1"/>
    <col min="19" max="19" width="12.7109375" style="1940" customWidth="1"/>
    <col min="20" max="20" width="35.7109375" style="1905" customWidth="1"/>
    <col min="21" max="21" width="0.140625" style="1905" customWidth="1"/>
    <col min="22" max="24" width="24.7109375" style="1905" hidden="1" customWidth="1"/>
    <col min="25" max="25" width="11.7109375" style="1905" hidden="1" customWidth="1"/>
    <col min="26" max="26" width="3.7109375" style="1905" hidden="1" customWidth="1"/>
    <col min="27" max="27" width="11.7109375" style="1905" hidden="1" customWidth="1"/>
    <col min="28" max="28" width="8.5703125" style="1905" hidden="1" customWidth="1"/>
    <col min="29" max="31" width="24.7109375" style="1905" customWidth="1"/>
    <col min="32" max="32" width="11.7109375" style="1905" customWidth="1"/>
    <col min="33" max="33" width="3.7109375" style="1905" customWidth="1"/>
    <col min="34" max="34" width="11.7109375" style="1905" customWidth="1"/>
    <col min="35" max="35" width="8.5703125" style="1905" hidden="1" customWidth="1"/>
    <col min="36" max="36" width="4.7109375" style="1905" customWidth="1"/>
    <col min="37" max="37" width="115.7109375" style="1905" customWidth="1"/>
    <col min="38" max="39" width="10.5703125" style="1820"/>
    <col min="40" max="40" width="11.140625" style="1820" customWidth="1"/>
    <col min="41" max="42" width="10.5703125" style="1820"/>
  </cols>
  <sheetData>
    <row r="1" spans="1:42" ht="14.25" hidden="1" customHeight="1">
      <c r="X1" s="253"/>
      <c r="Y1" s="253"/>
      <c r="AE1" s="253"/>
      <c r="AF1" s="253"/>
    </row>
    <row r="2" spans="1:42" ht="23.25" hidden="1" customHeight="1">
      <c r="A2" s="1279"/>
      <c r="B2" s="1279"/>
      <c r="C2" s="1279"/>
      <c r="D2" s="1279"/>
      <c r="E2" s="2270">
        <v>1</v>
      </c>
      <c r="F2" s="1279"/>
      <c r="G2" s="1279"/>
      <c r="H2" s="1279"/>
      <c r="I2" s="1279"/>
      <c r="J2" s="1279"/>
      <c r="K2" s="1279"/>
      <c r="L2" s="1280"/>
      <c r="M2" s="1281"/>
      <c r="N2" s="1281"/>
      <c r="O2" s="1281"/>
      <c r="P2" s="286"/>
      <c r="Q2" s="285"/>
      <c r="R2" s="280"/>
      <c r="S2" s="1403" t="e">
        <f>INDEX(PT_DIFFERENTIATION_NUM_NTAR,MATCH(A2,PT_DIFFERENTIATION_NTAR_ID,0))</f>
        <v>#N/A</v>
      </c>
      <c r="T2" s="216" t="s">
        <v>122</v>
      </c>
      <c r="U2" s="218"/>
      <c r="V2" s="2256"/>
      <c r="W2" s="2257"/>
      <c r="X2" s="2257"/>
      <c r="Y2" s="2257"/>
      <c r="Z2" s="2257"/>
      <c r="AA2" s="2257"/>
      <c r="AB2" s="2258"/>
      <c r="AC2" s="2256" t="e">
        <f>INDEX(PT_DIFFERENTIATION_NTAR,MATCH(A2,PT_DIFFERENTIATION_NTAR_ID,0))</f>
        <v>#N/A</v>
      </c>
      <c r="AD2" s="2257"/>
      <c r="AE2" s="2257"/>
      <c r="AF2" s="2257"/>
      <c r="AG2" s="2257"/>
      <c r="AH2" s="2257"/>
      <c r="AI2" s="2257"/>
      <c r="AJ2" s="2258"/>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79"/>
      <c r="B3" s="1279"/>
      <c r="C3" s="1279"/>
      <c r="D3" s="1279"/>
      <c r="E3" s="2271"/>
      <c r="F3" s="2270">
        <v>1</v>
      </c>
      <c r="G3" s="1279"/>
      <c r="H3" s="1279"/>
      <c r="I3" s="1279"/>
      <c r="J3" s="1279"/>
      <c r="K3" s="1279"/>
      <c r="L3" s="1280"/>
      <c r="M3" s="1281"/>
      <c r="N3" s="1281"/>
      <c r="O3" s="1281"/>
      <c r="P3" s="1397"/>
      <c r="Q3" s="277"/>
      <c r="R3" s="278"/>
      <c r="S3" s="1403" t="e">
        <f>INDEX(PT_DIFFERENTIATION_NUM_TER,MATCH(B3,PT_DIFFERENTIATION_TER_ID,0))</f>
        <v>#N/A</v>
      </c>
      <c r="T3" s="228" t="s">
        <v>388</v>
      </c>
      <c r="U3" s="218"/>
      <c r="V3" s="2256"/>
      <c r="W3" s="2257"/>
      <c r="X3" s="2257"/>
      <c r="Y3" s="2257"/>
      <c r="Z3" s="2257"/>
      <c r="AA3" s="2257"/>
      <c r="AB3" s="2258"/>
      <c r="AC3" s="2256" t="e">
        <f>INDEX(PT_DIFFERENTIATION_TER,MATCH(B3,PT_DIFFERENTIATION_TER_ID,0))</f>
        <v>#N/A</v>
      </c>
      <c r="AD3" s="2257"/>
      <c r="AE3" s="2257"/>
      <c r="AF3" s="2257"/>
      <c r="AG3" s="2257"/>
      <c r="AH3" s="2257"/>
      <c r="AI3" s="2257"/>
      <c r="AJ3" s="2258"/>
      <c r="AK3" s="1177" t="s">
        <v>389</v>
      </c>
      <c r="AM3" s="426"/>
      <c r="AN3" s="426" t="str">
        <f t="shared" si="0"/>
        <v>Территория действия тарифа</v>
      </c>
      <c r="AO3" s="426"/>
      <c r="AP3" s="426"/>
    </row>
    <row r="4" spans="1:42" ht="23.25" hidden="1" customHeight="1">
      <c r="A4" s="1279"/>
      <c r="B4" s="1279"/>
      <c r="C4" s="1279"/>
      <c r="D4" s="1279"/>
      <c r="E4" s="2271"/>
      <c r="F4" s="2271"/>
      <c r="G4" s="2270">
        <v>1</v>
      </c>
      <c r="H4" s="1279"/>
      <c r="I4" s="1279"/>
      <c r="J4" s="1279"/>
      <c r="K4" s="1279"/>
      <c r="L4" s="1280"/>
      <c r="M4" s="1281"/>
      <c r="N4" s="1281"/>
      <c r="O4" s="1281"/>
      <c r="P4" s="279"/>
      <c r="Q4" s="277"/>
      <c r="R4" s="278"/>
      <c r="S4" s="1403" t="e">
        <f>INDEX(PT_DIFFERENTIATION_NUM_CS,MATCH(C4,PT_DIFFERENTIATION_CS_ID,0))</f>
        <v>#N/A</v>
      </c>
      <c r="T4" s="229" t="s">
        <v>506</v>
      </c>
      <c r="U4" s="218"/>
      <c r="V4" s="2256"/>
      <c r="W4" s="2257"/>
      <c r="X4" s="2257"/>
      <c r="Y4" s="2257"/>
      <c r="Z4" s="2257"/>
      <c r="AA4" s="2257"/>
      <c r="AB4" s="2258"/>
      <c r="AC4" s="2256" t="e">
        <f>INDEX(PT_DIFFERENTIATION_CS,MATCH(C4,PT_DIFFERENTIATION_CS_ID,0))</f>
        <v>#N/A</v>
      </c>
      <c r="AD4" s="2257"/>
      <c r="AE4" s="2257"/>
      <c r="AF4" s="2257"/>
      <c r="AG4" s="2257"/>
      <c r="AH4" s="2257"/>
      <c r="AI4" s="2257"/>
      <c r="AJ4" s="2258"/>
      <c r="AK4" s="1177" t="s">
        <v>507</v>
      </c>
      <c r="AM4" s="426"/>
      <c r="AN4" s="426" t="str">
        <f t="shared" si="0"/>
        <v>Наименование централизованной системы водоотведения</v>
      </c>
      <c r="AO4" s="426"/>
      <c r="AP4" s="426"/>
    </row>
    <row r="5" spans="1:42" ht="23.25" hidden="1" customHeight="1">
      <c r="A5" s="1279"/>
      <c r="B5" s="1279"/>
      <c r="C5" s="1279"/>
      <c r="D5" s="1279"/>
      <c r="E5" s="2271"/>
      <c r="F5" s="2271"/>
      <c r="G5" s="2271"/>
      <c r="H5" s="2271"/>
      <c r="I5" s="2268" t="e">
        <f>S4&amp;".1"</f>
        <v>#N/A</v>
      </c>
      <c r="J5" s="1279"/>
      <c r="K5" s="1279"/>
      <c r="L5" s="1280"/>
      <c r="P5" s="2269">
        <v>1</v>
      </c>
      <c r="Q5" s="1391"/>
      <c r="R5" s="281"/>
      <c r="S5" s="1403" t="e">
        <f>$I5</f>
        <v>#N/A</v>
      </c>
      <c r="T5" s="203" t="s">
        <v>471</v>
      </c>
      <c r="U5" s="218"/>
      <c r="V5" s="2329"/>
      <c r="W5" s="2330"/>
      <c r="X5" s="2330"/>
      <c r="Y5" s="2330"/>
      <c r="Z5" s="2330"/>
      <c r="AA5" s="2330"/>
      <c r="AB5" s="2331"/>
      <c r="AC5" s="2332"/>
      <c r="AD5" s="2333"/>
      <c r="AE5" s="2333"/>
      <c r="AF5" s="2333"/>
      <c r="AG5" s="2333"/>
      <c r="AH5" s="2333"/>
      <c r="AI5" s="2333"/>
      <c r="AJ5" s="2334"/>
      <c r="AK5" s="1177" t="s">
        <v>472</v>
      </c>
      <c r="AM5" s="426"/>
      <c r="AN5" s="426" t="str">
        <f t="shared" si="0"/>
        <v>Наименование признака дифференциации</v>
      </c>
      <c r="AO5" s="426"/>
      <c r="AP5" s="426"/>
    </row>
    <row r="6" spans="1:42" ht="23.25" hidden="1" customHeight="1">
      <c r="A6" s="1279"/>
      <c r="B6" s="1279"/>
      <c r="C6" s="1279"/>
      <c r="D6" s="1279"/>
      <c r="E6" s="2271"/>
      <c r="F6" s="2271"/>
      <c r="G6" s="2271"/>
      <c r="H6" s="2271"/>
      <c r="I6" s="2291"/>
      <c r="J6" s="2268" t="e">
        <f>I5&amp;".1"</f>
        <v>#N/A</v>
      </c>
      <c r="K6" s="1279"/>
      <c r="L6" s="1280" t="s">
        <v>397</v>
      </c>
      <c r="P6" s="2269"/>
      <c r="Q6" s="2269">
        <v>1</v>
      </c>
      <c r="R6" s="282"/>
      <c r="S6" s="1403" t="e">
        <f>$J6</f>
        <v>#N/A</v>
      </c>
      <c r="T6" s="204" t="s">
        <v>398</v>
      </c>
      <c r="U6" s="218"/>
      <c r="V6" s="2259"/>
      <c r="W6" s="2260"/>
      <c r="X6" s="2260"/>
      <c r="Y6" s="2260"/>
      <c r="Z6" s="2260"/>
      <c r="AA6" s="2260"/>
      <c r="AB6" s="2261"/>
      <c r="AC6" s="2259"/>
      <c r="AD6" s="2260"/>
      <c r="AE6" s="2260"/>
      <c r="AF6" s="2260"/>
      <c r="AG6" s="2260"/>
      <c r="AH6" s="2260"/>
      <c r="AI6" s="2260"/>
      <c r="AJ6" s="2261"/>
      <c r="AK6" s="1226" t="s">
        <v>473</v>
      </c>
      <c r="AM6" s="426"/>
      <c r="AN6" s="426" t="str">
        <f t="shared" si="0"/>
        <v>Группа потребителей</v>
      </c>
      <c r="AO6" s="426"/>
      <c r="AP6" s="426"/>
    </row>
    <row r="7" spans="1:42" ht="23.25" hidden="1" customHeight="1">
      <c r="A7" s="1279"/>
      <c r="B7" s="1279"/>
      <c r="C7" s="1279"/>
      <c r="D7" s="1279"/>
      <c r="E7" s="2271"/>
      <c r="F7" s="2271"/>
      <c r="G7" s="2271"/>
      <c r="H7" s="2271"/>
      <c r="I7" s="2291"/>
      <c r="J7" s="2291"/>
      <c r="K7" s="2268" t="e">
        <f>J6&amp;".1"</f>
        <v>#N/A</v>
      </c>
      <c r="L7" s="1280"/>
      <c r="P7" s="2269"/>
      <c r="Q7" s="2269"/>
      <c r="R7" s="282">
        <v>1</v>
      </c>
      <c r="S7" s="1403" t="e">
        <f>$K7</f>
        <v>#N/A</v>
      </c>
      <c r="T7" s="1352"/>
      <c r="U7" s="218"/>
      <c r="V7" s="668"/>
      <c r="W7" s="668"/>
      <c r="X7" s="1176"/>
      <c r="Y7" s="2273"/>
      <c r="Z7" s="2124" t="s">
        <v>61</v>
      </c>
      <c r="AA7" s="2273"/>
      <c r="AB7" s="2124" t="s">
        <v>61</v>
      </c>
      <c r="AC7" s="668"/>
      <c r="AD7" s="668"/>
      <c r="AE7" s="1176"/>
      <c r="AF7" s="2273"/>
      <c r="AG7" s="2124" t="s">
        <v>61</v>
      </c>
      <c r="AH7" s="2292"/>
      <c r="AI7" s="2124" t="s">
        <v>61</v>
      </c>
      <c r="AJ7" s="1353"/>
      <c r="AK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79"/>
      <c r="B8" s="1279"/>
      <c r="C8" s="1279"/>
      <c r="D8" s="1279"/>
      <c r="E8" s="2271"/>
      <c r="F8" s="2271"/>
      <c r="G8" s="2271"/>
      <c r="H8" s="2271"/>
      <c r="I8" s="2291"/>
      <c r="J8" s="2291"/>
      <c r="K8" s="2268"/>
      <c r="L8" s="1280"/>
      <c r="P8" s="2269"/>
      <c r="Q8" s="2269"/>
      <c r="R8" s="282"/>
      <c r="S8" s="1400"/>
      <c r="T8" s="218"/>
      <c r="U8" s="218"/>
      <c r="V8" s="250"/>
      <c r="W8" s="250"/>
      <c r="X8" s="254" t="str">
        <f>Y7&amp;"-"&amp;AA7</f>
        <v>-</v>
      </c>
      <c r="Y8" s="2274"/>
      <c r="Z8" s="2124"/>
      <c r="AA8" s="2274"/>
      <c r="AB8" s="2124"/>
      <c r="AC8" s="250"/>
      <c r="AD8" s="250"/>
      <c r="AE8" s="254" t="str">
        <f>AF7&amp;"-"&amp;AH7</f>
        <v>-</v>
      </c>
      <c r="AF8" s="2274"/>
      <c r="AG8" s="2124"/>
      <c r="AH8" s="2293"/>
      <c r="AI8" s="2124"/>
      <c r="AJ8" s="1354"/>
      <c r="AK8" s="2328"/>
      <c r="AM8" s="426"/>
      <c r="AN8" s="426" t="str">
        <f t="shared" si="0"/>
        <v/>
      </c>
      <c r="AO8" s="426"/>
      <c r="AP8" s="426"/>
    </row>
    <row r="9" spans="1:42" ht="21" hidden="1" customHeight="1">
      <c r="A9" s="1279"/>
      <c r="B9" s="1279"/>
      <c r="C9" s="1279"/>
      <c r="D9" s="1279"/>
      <c r="E9" s="2271"/>
      <c r="F9" s="2271"/>
      <c r="G9" s="2271"/>
      <c r="H9" s="2271"/>
      <c r="I9" s="2291"/>
      <c r="J9" s="2268"/>
      <c r="K9" s="1279"/>
      <c r="L9" s="1280"/>
      <c r="P9" s="2269"/>
      <c r="Q9" s="2269"/>
      <c r="R9" s="281"/>
      <c r="S9" s="1198"/>
      <c r="T9" s="205" t="s">
        <v>474</v>
      </c>
      <c r="U9" s="295"/>
      <c r="V9" s="295"/>
      <c r="W9" s="295"/>
      <c r="X9" s="295"/>
      <c r="Y9" s="295"/>
      <c r="Z9" s="295"/>
      <c r="AA9" s="295"/>
      <c r="AB9" s="295"/>
      <c r="AC9" s="295"/>
      <c r="AD9" s="295"/>
      <c r="AE9" s="295"/>
      <c r="AF9" s="295"/>
      <c r="AG9" s="295"/>
      <c r="AH9" s="295"/>
      <c r="AI9" s="295"/>
      <c r="AJ9" s="295"/>
      <c r="AK9" s="1177" t="s">
        <v>475</v>
      </c>
      <c r="AM9" s="426"/>
      <c r="AN9" s="426" t="str">
        <f t="shared" si="0"/>
        <v>Добавить значение признака дифференциации</v>
      </c>
      <c r="AO9" s="426"/>
      <c r="AP9" s="426"/>
    </row>
    <row r="10" spans="1:42" ht="21" hidden="1" customHeight="1">
      <c r="A10" s="1279"/>
      <c r="B10" s="1279"/>
      <c r="C10" s="1279"/>
      <c r="D10" s="1279"/>
      <c r="E10" s="2271"/>
      <c r="F10" s="2271"/>
      <c r="G10" s="2271"/>
      <c r="H10" s="2271"/>
      <c r="I10" s="2268"/>
      <c r="J10" s="1279"/>
      <c r="K10" s="1279"/>
      <c r="L10" s="1280"/>
      <c r="P10" s="2269"/>
      <c r="Q10" s="1391"/>
      <c r="R10" s="281"/>
      <c r="S10" s="1198"/>
      <c r="T10" s="292" t="s">
        <v>403</v>
      </c>
      <c r="U10" s="295"/>
      <c r="V10" s="295"/>
      <c r="W10" s="295"/>
      <c r="X10" s="295"/>
      <c r="Y10" s="295"/>
      <c r="Z10" s="295"/>
      <c r="AA10" s="295"/>
      <c r="AB10" s="294"/>
      <c r="AC10" s="295"/>
      <c r="AD10" s="295"/>
      <c r="AE10" s="295"/>
      <c r="AF10" s="295"/>
      <c r="AG10" s="295"/>
      <c r="AH10" s="295"/>
      <c r="AI10" s="294"/>
      <c r="AJ10" s="295"/>
      <c r="AK10" s="1355"/>
      <c r="AM10" s="426"/>
      <c r="AN10" s="426" t="str">
        <f t="shared" si="0"/>
        <v>Добавить группу потребителей</v>
      </c>
      <c r="AO10" s="426"/>
      <c r="AP10" s="426"/>
    </row>
    <row r="11" spans="1:42" ht="21" hidden="1" customHeight="1">
      <c r="A11" s="1279"/>
      <c r="B11" s="1279"/>
      <c r="C11" s="1279"/>
      <c r="D11" s="1279"/>
      <c r="E11" s="2271"/>
      <c r="F11" s="2271"/>
      <c r="G11" s="2271"/>
      <c r="H11" s="2270"/>
      <c r="I11" s="1279"/>
      <c r="J11" s="1279"/>
      <c r="K11" s="1279"/>
      <c r="L11" s="1280"/>
      <c r="M11" s="1281"/>
      <c r="N11" s="1281"/>
      <c r="O11" s="462"/>
      <c r="P11" s="285"/>
      <c r="Q11" s="304"/>
      <c r="R11" s="280"/>
      <c r="S11" s="1198"/>
      <c r="T11" s="300" t="s">
        <v>476</v>
      </c>
      <c r="U11" s="295"/>
      <c r="V11" s="295"/>
      <c r="W11" s="295"/>
      <c r="X11" s="295"/>
      <c r="Y11" s="295"/>
      <c r="Z11" s="295"/>
      <c r="AA11" s="295"/>
      <c r="AB11" s="294"/>
      <c r="AC11" s="295"/>
      <c r="AD11" s="295"/>
      <c r="AE11" s="295"/>
      <c r="AF11" s="295"/>
      <c r="AG11" s="295"/>
      <c r="AH11" s="295"/>
      <c r="AI11" s="294"/>
      <c r="AJ11" s="295"/>
      <c r="AK11" s="221"/>
      <c r="AM11" s="426"/>
      <c r="AN11" s="426" t="str">
        <f t="shared" si="0"/>
        <v>Добавить наименование признака дифференциации</v>
      </c>
      <c r="AO11" s="426"/>
      <c r="AP11" s="426"/>
    </row>
    <row r="12" spans="1:42" s="1930" customFormat="1" ht="14.25" hidden="1" customHeight="1">
      <c r="A12" s="1260"/>
      <c r="B12" s="1260"/>
      <c r="C12" s="1232"/>
      <c r="D12" s="1232"/>
      <c r="E12" s="2271"/>
      <c r="F12" s="2270"/>
      <c r="G12" s="1232"/>
      <c r="H12" s="1232"/>
      <c r="I12" s="1232"/>
      <c r="J12" s="1232"/>
      <c r="K12" s="1232"/>
      <c r="L12" s="1404"/>
      <c r="M12" s="1239"/>
      <c r="N12" s="1239"/>
      <c r="P12" s="1234"/>
      <c r="Q12" s="1235"/>
      <c r="R12" s="1234"/>
      <c r="S12" s="1240"/>
      <c r="T12" s="1243" t="s">
        <v>215</v>
      </c>
      <c r="U12" s="1242"/>
      <c r="V12" s="1242"/>
      <c r="W12" s="1242"/>
      <c r="X12" s="1242"/>
      <c r="Y12" s="1242"/>
      <c r="Z12" s="1242"/>
      <c r="AA12" s="1242"/>
      <c r="AB12" s="1242"/>
      <c r="AC12" s="1242"/>
      <c r="AD12" s="1242"/>
      <c r="AE12" s="1242"/>
      <c r="AF12" s="1242"/>
      <c r="AG12" s="1242"/>
      <c r="AH12" s="1242"/>
      <c r="AI12" s="1242"/>
      <c r="AJ12" s="1242"/>
      <c r="AK12" s="1242"/>
      <c r="AM12" s="706"/>
      <c r="AN12" s="706" t="str">
        <f t="shared" si="0"/>
        <v>Добавить централизованную систему для дифференциации</v>
      </c>
      <c r="AO12" s="706"/>
      <c r="AP12" s="706"/>
    </row>
    <row r="13" spans="1:42" s="1820" customFormat="1" ht="14.25" hidden="1" customHeight="1">
      <c r="A13" s="1260"/>
      <c r="B13" s="1260"/>
      <c r="C13" s="1260"/>
      <c r="D13" s="1260"/>
      <c r="E13" s="2270"/>
      <c r="F13" s="1260"/>
      <c r="G13" s="1260"/>
      <c r="H13" s="1260"/>
      <c r="I13" s="1260"/>
      <c r="J13" s="1260"/>
      <c r="K13" s="1260"/>
      <c r="L13" s="1263"/>
      <c r="M13" s="1239"/>
      <c r="N13" s="1239"/>
      <c r="O13" s="444"/>
      <c r="P13" s="313"/>
      <c r="Q13" s="1261"/>
      <c r="R13" s="313"/>
      <c r="S13" s="1240"/>
      <c r="T13" s="1243" t="s">
        <v>216</v>
      </c>
      <c r="U13" s="1242"/>
      <c r="V13" s="1242"/>
      <c r="W13" s="1242"/>
      <c r="X13" s="1242"/>
      <c r="Y13" s="1242"/>
      <c r="Z13" s="1242"/>
      <c r="AA13" s="1242"/>
      <c r="AB13" s="1242"/>
      <c r="AC13" s="1242"/>
      <c r="AD13" s="1242"/>
      <c r="AE13" s="1242"/>
      <c r="AF13" s="1242"/>
      <c r="AG13" s="1242"/>
      <c r="AH13" s="1242"/>
      <c r="AI13" s="1242"/>
      <c r="AJ13" s="1242"/>
      <c r="AK13" s="1242"/>
      <c r="AM13" s="426"/>
      <c r="AN13" s="426" t="str">
        <f t="shared" si="0"/>
        <v>Добавить территорию для дифференциации</v>
      </c>
      <c r="AO13" s="426"/>
      <c r="AP13" s="426"/>
    </row>
    <row r="14" spans="1:42" ht="14.25" hidden="1" customHeight="1">
      <c r="AB14" s="253"/>
      <c r="AI14" s="253"/>
    </row>
    <row r="15" spans="1:42" ht="14.25" hidden="1" customHeight="1">
      <c r="AC15" s="1276"/>
      <c r="AD15" s="1276"/>
      <c r="AE15" s="1277"/>
      <c r="AF15" s="2275"/>
      <c r="AG15" s="2276" t="s">
        <v>61</v>
      </c>
      <c r="AH15" s="2275"/>
      <c r="AI15" s="2276" t="s">
        <v>61</v>
      </c>
    </row>
    <row r="16" spans="1:42" ht="14.25" hidden="1" customHeight="1">
      <c r="AC16" s="1276"/>
      <c r="AD16" s="1276"/>
      <c r="AE16" s="254" t="str">
        <f>AF15&amp;"-"&amp;AH15</f>
        <v>-</v>
      </c>
      <c r="AF16" s="2276"/>
      <c r="AG16" s="2276"/>
      <c r="AH16" s="2276"/>
      <c r="AI16" s="2276"/>
    </row>
    <row r="17" spans="1:42" ht="14.25" hidden="1" customHeight="1">
      <c r="AI17" s="253"/>
    </row>
    <row r="18" spans="1:42" s="1931" customFormat="1" ht="22.5" hidden="1" customHeight="1">
      <c r="L18" s="1388"/>
      <c r="M18" s="1278"/>
      <c r="N18" s="1278"/>
      <c r="O18" s="1283" t="s">
        <v>406</v>
      </c>
      <c r="P18" s="1278"/>
      <c r="Q18" s="1287"/>
      <c r="R18" s="1287"/>
      <c r="S18" s="648"/>
      <c r="Y18" s="1283"/>
      <c r="AA18" s="1283"/>
      <c r="AB18" s="1282"/>
      <c r="AF18" s="1283"/>
      <c r="AH18" s="1283"/>
      <c r="AI18" s="1282"/>
      <c r="AL18" s="437"/>
      <c r="AM18" s="437"/>
      <c r="AN18" s="437"/>
      <c r="AO18" s="437"/>
      <c r="AP18" s="437"/>
    </row>
    <row r="19" spans="1:42" s="1931" customFormat="1" ht="14.25" hidden="1" customHeight="1">
      <c r="L19" s="1388"/>
      <c r="M19" s="1278"/>
      <c r="N19" s="1278"/>
      <c r="O19" s="1278"/>
      <c r="P19" s="1278"/>
      <c r="Q19" s="1287"/>
      <c r="R19" s="1287"/>
      <c r="S19" s="648"/>
      <c r="AB19" s="1282"/>
      <c r="AI19" s="1282"/>
      <c r="AL19" s="437"/>
      <c r="AM19" s="437"/>
      <c r="AN19" s="437"/>
      <c r="AO19" s="437"/>
      <c r="AP19" s="437"/>
    </row>
    <row r="20" spans="1:42" s="1931" customFormat="1" ht="12" hidden="1" customHeight="1">
      <c r="L20" s="1388"/>
      <c r="M20" s="1278"/>
      <c r="N20" s="1278"/>
      <c r="O20" s="1280" t="s">
        <v>407</v>
      </c>
      <c r="P20" s="1278"/>
      <c r="Q20" s="1356"/>
      <c r="R20" s="1356"/>
      <c r="S20" s="648"/>
      <c r="T20" s="1060" t="s">
        <v>408</v>
      </c>
      <c r="Z20" s="107" t="s">
        <v>409</v>
      </c>
      <c r="AB20" s="107" t="s">
        <v>410</v>
      </c>
      <c r="AC20" s="1060" t="s">
        <v>408</v>
      </c>
      <c r="AG20" s="107" t="s">
        <v>411</v>
      </c>
      <c r="AI20" s="107" t="s">
        <v>410</v>
      </c>
    </row>
    <row r="21" spans="1:42" ht="14.25" hidden="1" customHeight="1">
      <c r="O21" s="1280"/>
    </row>
    <row r="22" spans="1:42" ht="14.25" hidden="1" customHeight="1">
      <c r="O22" s="1280"/>
    </row>
    <row r="23" spans="1:42" ht="14.25" customHeight="1">
      <c r="Q23" s="305"/>
      <c r="R23" s="305"/>
      <c r="S23" s="1195"/>
      <c r="T23" s="290"/>
      <c r="U23" s="290"/>
      <c r="V23" s="435"/>
      <c r="W23" s="435"/>
      <c r="X23" s="435"/>
      <c r="Y23" s="435"/>
      <c r="Z23" s="435"/>
      <c r="AA23" s="435"/>
      <c r="AB23" s="435"/>
      <c r="AC23" s="435"/>
      <c r="AD23" s="435"/>
      <c r="AE23" s="435"/>
      <c r="AF23" s="435"/>
      <c r="AG23" s="435"/>
      <c r="AH23" s="435"/>
      <c r="AI23" s="435"/>
    </row>
    <row r="24" spans="1:42" ht="14.25" customHeight="1">
      <c r="Q24" s="305"/>
      <c r="R24" s="305"/>
      <c r="S24" s="225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4"/>
      <c r="U24" s="2254"/>
      <c r="V24" s="2254"/>
      <c r="W24" s="2254"/>
      <c r="X24" s="2254"/>
      <c r="Y24" s="2254"/>
      <c r="Z24" s="2254"/>
      <c r="AA24" s="2254"/>
      <c r="AB24" s="2254"/>
      <c r="AC24" s="2254"/>
      <c r="AD24" s="2254"/>
      <c r="AE24" s="2254"/>
      <c r="AF24" s="2254"/>
      <c r="AG24" s="2254"/>
      <c r="AH24" s="2254"/>
      <c r="AI24" s="1152"/>
    </row>
    <row r="25" spans="1:42" ht="14.25" customHeight="1">
      <c r="Q25" s="305"/>
      <c r="R25" s="305"/>
      <c r="S25" s="2200" t="str">
        <f>IF(org=0,"Не определено",org)</f>
        <v>ПАО "Юнипро"</v>
      </c>
      <c r="T25" s="2200"/>
      <c r="U25" s="2200"/>
      <c r="V25" s="2200"/>
      <c r="W25" s="2200"/>
      <c r="X25" s="2200"/>
      <c r="Y25" s="2200"/>
      <c r="Z25" s="2200"/>
      <c r="AA25" s="2200"/>
      <c r="AB25" s="2200"/>
      <c r="AC25" s="2200"/>
      <c r="AD25" s="2200"/>
      <c r="AE25" s="2200"/>
      <c r="AF25" s="2200"/>
      <c r="AG25" s="2200"/>
      <c r="AH25" s="2200"/>
      <c r="AI25" s="1152"/>
    </row>
    <row r="26" spans="1:42" ht="14.25" customHeight="1">
      <c r="Q26" s="305"/>
      <c r="R26" s="305"/>
      <c r="S26" s="1195"/>
      <c r="T26" s="290"/>
      <c r="U26" s="290"/>
      <c r="V26" s="246"/>
      <c r="W26" s="246"/>
      <c r="X26" s="246"/>
      <c r="Y26" s="246"/>
      <c r="Z26" s="246"/>
      <c r="AA26" s="246"/>
      <c r="AB26" s="246"/>
      <c r="AC26" s="246"/>
      <c r="AD26" s="246"/>
      <c r="AE26" s="246"/>
      <c r="AF26" s="246"/>
      <c r="AG26" s="246"/>
      <c r="AH26" s="246"/>
      <c r="AI26" s="246"/>
      <c r="AJ26" s="435"/>
    </row>
    <row r="27" spans="1:42" s="1936" customFormat="1" ht="25.5" customHeight="1">
      <c r="A27" s="1284"/>
      <c r="B27" s="1284"/>
      <c r="C27" s="1284"/>
      <c r="D27" s="1284"/>
      <c r="E27" s="1284"/>
      <c r="F27" s="1284"/>
      <c r="G27" s="1284"/>
      <c r="H27" s="1284"/>
      <c r="I27" s="1284"/>
      <c r="J27" s="1284"/>
      <c r="K27" s="1284"/>
      <c r="L27" s="1285"/>
      <c r="M27" s="1284"/>
      <c r="N27" s="1284"/>
      <c r="O27" s="1284"/>
      <c r="S27" s="2262" t="s">
        <v>38</v>
      </c>
      <c r="T27" s="2262"/>
      <c r="U27" s="1288"/>
      <c r="V27" s="2263" t="str">
        <f>IF(TITLE_NAME_OR_PR_CHANGE="",IF(TITLE_NAME_OR_PR="","",TITLE_NAME_OR_PR),TITLE_NAME_OR_PR_CHANGE)</f>
        <v>Министерство тарифной политики Красноярского края</v>
      </c>
      <c r="W27" s="2263"/>
      <c r="X27" s="2263"/>
      <c r="Y27" s="2263"/>
      <c r="Z27" s="2263"/>
      <c r="AA27" s="2263"/>
      <c r="AB27" s="252"/>
      <c r="AC27" s="2263" t="str">
        <f>IF(TITLE_NAME_OR_PR_CHANGE="",IF(TITLE_NAME_OR_PR="","",TITLE_NAME_OR_PR),TITLE_NAME_OR_PR_CHANGE)</f>
        <v>Министерство тарифной политики Красноярского края</v>
      </c>
      <c r="AD27" s="2263"/>
      <c r="AE27" s="2263"/>
      <c r="AF27" s="2263"/>
      <c r="AG27" s="2263"/>
      <c r="AH27" s="2263"/>
      <c r="AI27" s="252"/>
      <c r="AJ27" s="252"/>
      <c r="AK27" s="199"/>
      <c r="AL27" s="296"/>
      <c r="AM27" s="296"/>
      <c r="AN27" s="296"/>
      <c r="AO27" s="296"/>
      <c r="AP27" s="296"/>
    </row>
    <row r="28" spans="1:42" s="1936" customFormat="1" ht="18.75" customHeight="1">
      <c r="A28" s="1284"/>
      <c r="B28" s="1284"/>
      <c r="C28" s="1284"/>
      <c r="D28" s="1284"/>
      <c r="E28" s="1284"/>
      <c r="F28" s="1284"/>
      <c r="G28" s="1284"/>
      <c r="H28" s="1284"/>
      <c r="I28" s="1284"/>
      <c r="J28" s="1284"/>
      <c r="K28" s="1284"/>
      <c r="L28" s="1285"/>
      <c r="M28" s="1284"/>
      <c r="N28" s="1284"/>
      <c r="O28" s="1284"/>
      <c r="S28" s="2262" t="s">
        <v>412</v>
      </c>
      <c r="T28" s="2262"/>
      <c r="U28" s="1288"/>
      <c r="V28" s="2272">
        <f>IF(TITLE_DATE_PR_CHANGE="",IF(TITLE_DATE_PR="","",TITLE_DATE_PR),TITLE_DATE_PR_CHANGE)</f>
        <v>45278.357847222222</v>
      </c>
      <c r="W28" s="2272"/>
      <c r="X28" s="2272"/>
      <c r="Y28" s="2272"/>
      <c r="Z28" s="2272"/>
      <c r="AA28" s="2272"/>
      <c r="AB28" s="252"/>
      <c r="AC28" s="2272">
        <f>IF(TITLE_DATE_PR_CHANGE="",IF(TITLE_DATE_PR="","",TITLE_DATE_PR),TITLE_DATE_PR_CHANGE)</f>
        <v>45278.357847222222</v>
      </c>
      <c r="AD28" s="2272"/>
      <c r="AE28" s="2272"/>
      <c r="AF28" s="2272"/>
      <c r="AG28" s="2272"/>
      <c r="AH28" s="2272"/>
      <c r="AI28" s="252"/>
      <c r="AJ28" s="252"/>
      <c r="AK28" s="199"/>
      <c r="AL28" s="296"/>
      <c r="AM28" s="296"/>
      <c r="AN28" s="296"/>
      <c r="AO28" s="296"/>
      <c r="AP28" s="296"/>
    </row>
    <row r="29" spans="1:42" s="1936" customFormat="1" ht="18.75" customHeight="1">
      <c r="A29" s="1284"/>
      <c r="B29" s="1284"/>
      <c r="C29" s="1284"/>
      <c r="D29" s="1284"/>
      <c r="E29" s="1284"/>
      <c r="F29" s="1284"/>
      <c r="G29" s="1284"/>
      <c r="H29" s="1284"/>
      <c r="I29" s="1284"/>
      <c r="J29" s="1284"/>
      <c r="K29" s="1284"/>
      <c r="L29" s="1285"/>
      <c r="M29" s="1284"/>
      <c r="N29" s="1284"/>
      <c r="O29" s="1284"/>
      <c r="S29" s="2262" t="s">
        <v>413</v>
      </c>
      <c r="T29" s="2262"/>
      <c r="U29" s="1288"/>
      <c r="V29" s="2263" t="str">
        <f>IF(TITLE_NUMBER_PR_CHANGE="",IF(TITLE_NUMBER_PR="","",TITLE_NUMBER_PR),TITLE_NUMBER_PR_CHANGE)</f>
        <v>924-в</v>
      </c>
      <c r="W29" s="2263"/>
      <c r="X29" s="2263"/>
      <c r="Y29" s="2263"/>
      <c r="Z29" s="2263"/>
      <c r="AA29" s="2263"/>
      <c r="AB29" s="252"/>
      <c r="AC29" s="2263" t="str">
        <f>IF(TITLE_NUMBER_PR_CHANGE="",IF(TITLE_NUMBER_PR="","",TITLE_NUMBER_PR),TITLE_NUMBER_PR_CHANGE)</f>
        <v>924-в</v>
      </c>
      <c r="AD29" s="2263"/>
      <c r="AE29" s="2263"/>
      <c r="AF29" s="2263"/>
      <c r="AG29" s="2263"/>
      <c r="AH29" s="2263"/>
      <c r="AI29" s="252"/>
      <c r="AJ29" s="252"/>
      <c r="AK29" s="199"/>
      <c r="AL29" s="296"/>
      <c r="AM29" s="296"/>
      <c r="AN29" s="296"/>
      <c r="AO29" s="296"/>
      <c r="AP29" s="296"/>
    </row>
    <row r="30" spans="1:42" s="1936" customFormat="1" ht="18.75" customHeight="1">
      <c r="A30" s="1284"/>
      <c r="B30" s="1284"/>
      <c r="C30" s="1284"/>
      <c r="D30" s="1284"/>
      <c r="E30" s="1284"/>
      <c r="F30" s="1284"/>
      <c r="G30" s="1284"/>
      <c r="H30" s="1284"/>
      <c r="I30" s="1284"/>
      <c r="J30" s="1284"/>
      <c r="K30" s="1284"/>
      <c r="L30" s="1285"/>
      <c r="M30" s="1284"/>
      <c r="N30" s="1284"/>
      <c r="O30" s="1284"/>
      <c r="S30" s="2262" t="s">
        <v>40</v>
      </c>
      <c r="T30" s="2262"/>
      <c r="U30" s="1288"/>
      <c r="V30" s="2263" t="str">
        <f>IF(TITLE_IST_PUB_CHANGE="",IF(TITLE_IST_PUB="","",TITLE_IST_PUB),TITLE_IST_PUB_CHANGE)</f>
        <v>Официальный интернет-портал правовой информации Красноярского края (http://www.zakon.krskstate.ru/)</v>
      </c>
      <c r="W30" s="2263"/>
      <c r="X30" s="2263"/>
      <c r="Y30" s="2263"/>
      <c r="Z30" s="2263"/>
      <c r="AA30" s="2263"/>
      <c r="AB30" s="252"/>
      <c r="AC30" s="2263" t="str">
        <f>IF(TITLE_IST_PUB_CHANGE="",IF(TITLE_IST_PUB="","",TITLE_IST_PUB),TITLE_IST_PUB_CHANGE)</f>
        <v>Официальный интернет-портал правовой информации Красноярского края (http://www.zakon.krskstate.ru/)</v>
      </c>
      <c r="AD30" s="2263"/>
      <c r="AE30" s="2263"/>
      <c r="AF30" s="2263"/>
      <c r="AG30" s="2263"/>
      <c r="AH30" s="2263"/>
      <c r="AI30" s="252"/>
      <c r="AJ30" s="252"/>
      <c r="AK30" s="199"/>
      <c r="AL30" s="296"/>
      <c r="AM30" s="296"/>
      <c r="AN30" s="296"/>
      <c r="AO30" s="296"/>
      <c r="AP30" s="296"/>
    </row>
    <row r="31" spans="1:42" ht="14.25" hidden="1" customHeight="1">
      <c r="Q31" s="305"/>
      <c r="R31" s="305"/>
      <c r="S31" s="1195"/>
      <c r="T31" s="290"/>
      <c r="U31" s="290"/>
      <c r="V31" s="246"/>
      <c r="W31" s="246"/>
      <c r="X31" s="246"/>
      <c r="Y31" s="246"/>
      <c r="Z31" s="246"/>
      <c r="AA31" s="246"/>
      <c r="AB31" s="246"/>
      <c r="AC31" s="246"/>
      <c r="AD31" s="246"/>
      <c r="AE31" s="246"/>
      <c r="AF31" s="246"/>
      <c r="AG31" s="246"/>
      <c r="AH31" s="246"/>
      <c r="AI31" s="246"/>
      <c r="AJ31" s="435"/>
    </row>
    <row r="32" spans="1:42" s="1936" customFormat="1" ht="18.75" hidden="1" customHeight="1">
      <c r="A32" s="1284"/>
      <c r="B32" s="1284"/>
      <c r="C32" s="1284"/>
      <c r="D32" s="1284"/>
      <c r="E32" s="1284"/>
      <c r="F32" s="1284"/>
      <c r="G32" s="1284"/>
      <c r="H32" s="1284"/>
      <c r="I32" s="1284"/>
      <c r="J32" s="1284"/>
      <c r="K32" s="1284"/>
      <c r="L32" s="1285"/>
      <c r="M32" s="1284"/>
      <c r="N32" s="1284"/>
      <c r="O32" s="1284"/>
      <c r="S32" s="2262" t="s">
        <v>414</v>
      </c>
      <c r="T32" s="2262"/>
      <c r="U32" s="1288"/>
      <c r="V32" s="2272">
        <f>IF(TITLE_DATE_PR_CHANGE="",IF(TITLE_DATE_PR="","",TITLE_DATE_PR),TITLE_DATE_PR_CHANGE)</f>
        <v>45278.357847222222</v>
      </c>
      <c r="W32" s="2272"/>
      <c r="X32" s="2272"/>
      <c r="Y32" s="2272"/>
      <c r="Z32" s="2272"/>
      <c r="AA32" s="2272"/>
      <c r="AB32" s="252"/>
      <c r="AC32" s="2272">
        <f>IF(TITLE_DATE_PR_CHANGE="",IF(TITLE_DATE_PR="","",TITLE_DATE_PR),TITLE_DATE_PR_CHANGE)</f>
        <v>45278.357847222222</v>
      </c>
      <c r="AD32" s="2272"/>
      <c r="AE32" s="2272"/>
      <c r="AF32" s="2272"/>
      <c r="AG32" s="2272"/>
      <c r="AH32" s="2272"/>
      <c r="AI32" s="252"/>
      <c r="AJ32" s="252"/>
      <c r="AK32" s="199"/>
      <c r="AL32" s="296"/>
      <c r="AM32" s="296"/>
      <c r="AN32" s="296"/>
      <c r="AO32" s="296"/>
      <c r="AP32" s="296"/>
    </row>
    <row r="33" spans="1:42" s="1936" customFormat="1" ht="18.75" hidden="1" customHeight="1">
      <c r="A33" s="1284"/>
      <c r="B33" s="1284"/>
      <c r="C33" s="1284"/>
      <c r="D33" s="1284"/>
      <c r="E33" s="1284"/>
      <c r="F33" s="1284"/>
      <c r="G33" s="1284"/>
      <c r="H33" s="1284"/>
      <c r="I33" s="1284"/>
      <c r="J33" s="1284"/>
      <c r="K33" s="1284"/>
      <c r="L33" s="1285"/>
      <c r="M33" s="1284"/>
      <c r="N33" s="1284"/>
      <c r="O33" s="1284"/>
      <c r="S33" s="2262" t="s">
        <v>415</v>
      </c>
      <c r="T33" s="2262"/>
      <c r="U33" s="1288"/>
      <c r="V33" s="2263" t="str">
        <f>IF(TITLE_NUMBER_PR_CHANGE="",IF(TITLE_NUMBER_PR="","",TITLE_NUMBER_PR),TITLE_NUMBER_PR_CHANGE)</f>
        <v>924-в</v>
      </c>
      <c r="W33" s="2263"/>
      <c r="X33" s="2263"/>
      <c r="Y33" s="2263"/>
      <c r="Z33" s="2263"/>
      <c r="AA33" s="2263"/>
      <c r="AB33" s="252"/>
      <c r="AC33" s="2263" t="str">
        <f>IF(TITLE_NUMBER_PR_CHANGE="",IF(TITLE_NUMBER_PR="","",TITLE_NUMBER_PR),TITLE_NUMBER_PR_CHANGE)</f>
        <v>924-в</v>
      </c>
      <c r="AD33" s="2263"/>
      <c r="AE33" s="2263"/>
      <c r="AF33" s="2263"/>
      <c r="AG33" s="2263"/>
      <c r="AH33" s="2263"/>
      <c r="AI33" s="252"/>
      <c r="AJ33" s="252"/>
      <c r="AK33" s="199"/>
      <c r="AL33" s="296"/>
      <c r="AM33" s="296"/>
      <c r="AN33" s="296"/>
      <c r="AO33" s="296"/>
      <c r="AP33" s="296"/>
    </row>
    <row r="34" spans="1:42" s="1936" customFormat="1" ht="0.75" customHeight="1">
      <c r="A34" s="1284"/>
      <c r="B34" s="1284"/>
      <c r="C34" s="1284"/>
      <c r="D34" s="1284"/>
      <c r="E34" s="1284"/>
      <c r="F34" s="1284"/>
      <c r="G34" s="1284"/>
      <c r="H34" s="1284"/>
      <c r="I34" s="1284"/>
      <c r="J34" s="1284"/>
      <c r="K34" s="1284"/>
      <c r="L34" s="1285"/>
      <c r="M34" s="1284"/>
      <c r="N34" s="1284"/>
      <c r="O34" s="1284"/>
      <c r="S34" s="248"/>
      <c r="T34" s="248"/>
      <c r="U34" s="1398"/>
      <c r="V34" s="252"/>
      <c r="W34" s="252"/>
      <c r="X34" s="252"/>
      <c r="Y34" s="252"/>
      <c r="Z34" s="252"/>
      <c r="AA34" s="252"/>
      <c r="AB34" s="197" t="s">
        <v>416</v>
      </c>
      <c r="AC34" s="252"/>
      <c r="AD34" s="252"/>
      <c r="AE34" s="252"/>
      <c r="AF34" s="252"/>
      <c r="AG34" s="252"/>
      <c r="AH34" s="252"/>
      <c r="AI34" s="197" t="s">
        <v>416</v>
      </c>
      <c r="AL34" s="296"/>
      <c r="AM34" s="296"/>
      <c r="AN34" s="296"/>
      <c r="AO34" s="296"/>
      <c r="AP34" s="296"/>
    </row>
    <row r="35" spans="1:42" ht="14.25" customHeight="1">
      <c r="Q35" s="305"/>
      <c r="R35" s="305"/>
      <c r="S35" s="1195"/>
      <c r="T35" s="290"/>
      <c r="U35" s="1153"/>
      <c r="V35" s="2264"/>
      <c r="W35" s="2264"/>
      <c r="X35" s="2264"/>
      <c r="Y35" s="2264"/>
      <c r="Z35" s="2264"/>
      <c r="AA35" s="2264"/>
      <c r="AB35" s="2264"/>
      <c r="AC35" s="2264"/>
      <c r="AD35" s="2264"/>
      <c r="AE35" s="2264"/>
      <c r="AF35" s="2264"/>
      <c r="AG35" s="2264"/>
      <c r="AH35" s="2264"/>
      <c r="AI35" s="2264"/>
    </row>
    <row r="36" spans="1:42" ht="14.25" customHeight="1">
      <c r="Q36" s="305"/>
      <c r="R36" s="305"/>
      <c r="S36" s="2143" t="s">
        <v>289</v>
      </c>
      <c r="T36" s="2143"/>
      <c r="U36" s="2143"/>
      <c r="V36" s="2143"/>
      <c r="W36" s="2143"/>
      <c r="X36" s="2143"/>
      <c r="Y36" s="2143"/>
      <c r="Z36" s="2143"/>
      <c r="AA36" s="2143"/>
      <c r="AB36" s="2143"/>
      <c r="AC36" s="2143"/>
      <c r="AD36" s="2143"/>
      <c r="AE36" s="2143"/>
      <c r="AF36" s="2143"/>
      <c r="AG36" s="2143"/>
      <c r="AH36" s="2143"/>
      <c r="AI36" s="2143"/>
      <c r="AJ36" s="2143"/>
      <c r="AK36" s="2143" t="s">
        <v>290</v>
      </c>
    </row>
    <row r="37" spans="1:42" ht="14.25" customHeight="1">
      <c r="Q37" s="305"/>
      <c r="R37" s="305"/>
      <c r="S37" s="2278" t="s">
        <v>87</v>
      </c>
      <c r="T37" s="2229" t="s">
        <v>417</v>
      </c>
      <c r="U37" s="219"/>
      <c r="V37" s="2279" t="s">
        <v>418</v>
      </c>
      <c r="W37" s="2280"/>
      <c r="X37" s="2280"/>
      <c r="Y37" s="2280"/>
      <c r="Z37" s="2280"/>
      <c r="AA37" s="2281"/>
      <c r="AB37" s="2282" t="s">
        <v>419</v>
      </c>
      <c r="AC37" s="2279" t="s">
        <v>418</v>
      </c>
      <c r="AD37" s="2280"/>
      <c r="AE37" s="2280"/>
      <c r="AF37" s="2280"/>
      <c r="AG37" s="2280"/>
      <c r="AH37" s="2281"/>
      <c r="AI37" s="2282" t="s">
        <v>420</v>
      </c>
      <c r="AJ37" s="2285" t="s">
        <v>421</v>
      </c>
      <c r="AK37" s="2143"/>
    </row>
    <row r="38" spans="1:42" ht="33.75" customHeight="1">
      <c r="Q38" s="305"/>
      <c r="R38" s="305"/>
      <c r="S38" s="2278"/>
      <c r="T38" s="2229"/>
      <c r="U38" s="938"/>
      <c r="V38" s="1393" t="s">
        <v>478</v>
      </c>
      <c r="W38" s="2115" t="s">
        <v>424</v>
      </c>
      <c r="X38" s="2114"/>
      <c r="Y38" s="2115" t="s">
        <v>425</v>
      </c>
      <c r="Z38" s="2120"/>
      <c r="AA38" s="2114"/>
      <c r="AB38" s="2283"/>
      <c r="AC38" s="1393" t="s">
        <v>478</v>
      </c>
      <c r="AD38" s="2115" t="s">
        <v>424</v>
      </c>
      <c r="AE38" s="2114"/>
      <c r="AF38" s="2115" t="s">
        <v>425</v>
      </c>
      <c r="AG38" s="2120"/>
      <c r="AH38" s="2114"/>
      <c r="AI38" s="2283"/>
      <c r="AJ38" s="2286"/>
      <c r="AK38" s="2143"/>
    </row>
    <row r="39" spans="1:42" ht="86.25" customHeight="1">
      <c r="A39" s="1286"/>
      <c r="B39" s="1286" t="s">
        <v>134</v>
      </c>
      <c r="C39" s="1286" t="s">
        <v>135</v>
      </c>
      <c r="D39" s="1286" t="s">
        <v>136</v>
      </c>
      <c r="E39" s="1280" t="s">
        <v>426</v>
      </c>
      <c r="F39" s="1280" t="s">
        <v>427</v>
      </c>
      <c r="G39" s="1280" t="s">
        <v>428</v>
      </c>
      <c r="H39" s="1280"/>
      <c r="I39" s="1280" t="s">
        <v>479</v>
      </c>
      <c r="J39" s="1280" t="s">
        <v>431</v>
      </c>
      <c r="K39" s="1280" t="s">
        <v>480</v>
      </c>
      <c r="L39" s="1280" t="s">
        <v>407</v>
      </c>
      <c r="Q39" s="305"/>
      <c r="R39" s="305"/>
      <c r="S39" s="2278"/>
      <c r="T39" s="2229"/>
      <c r="U39" s="220"/>
      <c r="V39" s="1393" t="s">
        <v>508</v>
      </c>
      <c r="W39" s="1128" t="s">
        <v>509</v>
      </c>
      <c r="X39" s="1128" t="s">
        <v>483</v>
      </c>
      <c r="Y39" s="1399" t="s">
        <v>435</v>
      </c>
      <c r="Z39" s="2238" t="s">
        <v>436</v>
      </c>
      <c r="AA39" s="2240"/>
      <c r="AB39" s="2284"/>
      <c r="AC39" s="1393" t="s">
        <v>508</v>
      </c>
      <c r="AD39" s="1128" t="s">
        <v>509</v>
      </c>
      <c r="AE39" s="1128" t="s">
        <v>483</v>
      </c>
      <c r="AF39" s="1399" t="s">
        <v>435</v>
      </c>
      <c r="AG39" s="2238" t="s">
        <v>436</v>
      </c>
      <c r="AH39" s="2240"/>
      <c r="AI39" s="2284"/>
      <c r="AJ39" s="2287"/>
      <c r="AK39" s="2143"/>
    </row>
    <row r="40" spans="1:42" s="1819" customFormat="1" ht="0"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108</v>
      </c>
      <c r="T40" s="1172" t="s">
        <v>109</v>
      </c>
      <c r="U40" s="1154" t="str">
        <f ca="1">OFFSET(U40,0,-1)</f>
        <v>2</v>
      </c>
      <c r="V40" s="1392">
        <f ca="1">OFFSET(V40,0,-1)+1</f>
        <v>3</v>
      </c>
      <c r="W40" s="1392">
        <f ca="1">OFFSET(W40,0,-1)+1</f>
        <v>4</v>
      </c>
      <c r="X40" s="1392">
        <f ca="1">OFFSET(X40,0,-1)+1</f>
        <v>5</v>
      </c>
      <c r="Y40" s="1392">
        <f ca="1">OFFSET(Y40,0,-1)+1</f>
        <v>6</v>
      </c>
      <c r="Z40" s="2277">
        <f ca="1">OFFSET(Z40,0,-1)+1</f>
        <v>7</v>
      </c>
      <c r="AA40" s="2277"/>
      <c r="AB40" s="1392">
        <f ca="1">OFFSET(AB40,0,-2)+1</f>
        <v>8</v>
      </c>
      <c r="AC40" s="1392">
        <f ca="1">OFFSET(AC40,0,-1)+1</f>
        <v>9</v>
      </c>
      <c r="AD40" s="1392">
        <f ca="1">OFFSET(AD40,0,-1)+1</f>
        <v>10</v>
      </c>
      <c r="AE40" s="1392">
        <f ca="1">OFFSET(AE40,0,-1)+1</f>
        <v>11</v>
      </c>
      <c r="AF40" s="1392">
        <f ca="1">OFFSET(AF40,0,-1)+1</f>
        <v>12</v>
      </c>
      <c r="AG40" s="2277">
        <f ca="1">OFFSET(AG40,0,-1)+1</f>
        <v>13</v>
      </c>
      <c r="AH40" s="2277"/>
      <c r="AI40" s="1392">
        <f ca="1">OFFSET(AI40,0,-2)+1</f>
        <v>14</v>
      </c>
      <c r="AJ40" s="1154">
        <f ca="1">OFFSET(AJ40,0,-1)</f>
        <v>14</v>
      </c>
      <c r="AK40" s="1392">
        <f ca="1">OFFSET(AK40,0,-1)+1</f>
        <v>15</v>
      </c>
      <c r="AL40" s="437"/>
      <c r="AM40" s="437"/>
      <c r="AN40" s="437"/>
      <c r="AO40" s="437"/>
      <c r="AP40" s="437"/>
    </row>
    <row r="41" spans="1:42" ht="23.25" customHeight="1">
      <c r="A41" s="1279" t="s">
        <v>260</v>
      </c>
      <c r="B41" s="1279"/>
      <c r="C41" s="1279"/>
      <c r="D41" s="1279"/>
      <c r="E41" s="2270">
        <v>1</v>
      </c>
      <c r="F41" s="1279"/>
      <c r="G41" s="1279"/>
      <c r="H41" s="1279"/>
      <c r="I41" s="1279"/>
      <c r="J41" s="1279"/>
      <c r="K41" s="1279"/>
      <c r="L41" s="1280"/>
      <c r="M41" s="1281"/>
      <c r="N41" s="1281"/>
      <c r="O41" s="1281"/>
      <c r="P41" s="286"/>
      <c r="Q41" s="285"/>
      <c r="R41" s="280"/>
      <c r="S41" s="1403">
        <f>INDEX(PT_DIFFERENTIATION_NUM_NTAR,MATCH(A41,PT_DIFFERENTIATION_NTAR_ID,0))</f>
        <v>0</v>
      </c>
      <c r="T41" s="216" t="s">
        <v>122</v>
      </c>
      <c r="U41" s="218"/>
      <c r="V41" s="2256"/>
      <c r="W41" s="2257"/>
      <c r="X41" s="2257"/>
      <c r="Y41" s="2257"/>
      <c r="Z41" s="2257"/>
      <c r="AA41" s="2257"/>
      <c r="AB41" s="2258"/>
      <c r="AC41" s="2256" t="str">
        <f>INDEX(PT_DIFFERENTIATION_NTAR,MATCH(A41,PT_DIFFERENTIATION_NTAR_ID,0))</f>
        <v/>
      </c>
      <c r="AD41" s="2257"/>
      <c r="AE41" s="2257"/>
      <c r="AF41" s="2257"/>
      <c r="AG41" s="2257"/>
      <c r="AH41" s="2257"/>
      <c r="AI41" s="2257"/>
      <c r="AJ41" s="2258"/>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79" t="s">
        <v>260</v>
      </c>
      <c r="B42" s="1279" t="s">
        <v>261</v>
      </c>
      <c r="C42" s="1279"/>
      <c r="D42" s="1279"/>
      <c r="E42" s="2271"/>
      <c r="F42" s="2270">
        <v>1</v>
      </c>
      <c r="G42" s="1279"/>
      <c r="H42" s="1279"/>
      <c r="I42" s="1279"/>
      <c r="J42" s="1279"/>
      <c r="K42" s="1279"/>
      <c r="L42" s="1280"/>
      <c r="M42" s="1281"/>
      <c r="N42" s="1281"/>
      <c r="O42" s="1281"/>
      <c r="P42" s="1397"/>
      <c r="Q42" s="277"/>
      <c r="R42" s="278"/>
      <c r="S42" s="1403" t="str">
        <f>INDEX(PT_DIFFERENTIATION_NUM_TER,MATCH(B42,PT_DIFFERENTIATION_TER_ID,0))</f>
        <v>.</v>
      </c>
      <c r="T42" s="228" t="s">
        <v>388</v>
      </c>
      <c r="U42" s="218"/>
      <c r="V42" s="2256"/>
      <c r="W42" s="2257"/>
      <c r="X42" s="2257"/>
      <c r="Y42" s="2257"/>
      <c r="Z42" s="2257"/>
      <c r="AA42" s="2257"/>
      <c r="AB42" s="2258"/>
      <c r="AC42" s="2256" t="str">
        <f>INDEX(PT_DIFFERENTIATION_TER,MATCH(B42,PT_DIFFERENTIATION_TER_ID,0))</f>
        <v/>
      </c>
      <c r="AD42" s="2257"/>
      <c r="AE42" s="2257"/>
      <c r="AF42" s="2257"/>
      <c r="AG42" s="2257"/>
      <c r="AH42" s="2257"/>
      <c r="AI42" s="2257"/>
      <c r="AJ42" s="2258"/>
      <c r="AK42" s="1177" t="s">
        <v>389</v>
      </c>
      <c r="AM42" s="426"/>
      <c r="AN42" s="426" t="str">
        <f t="shared" si="1"/>
        <v>Территория действия тарифа</v>
      </c>
      <c r="AO42" s="426"/>
      <c r="AP42" s="426"/>
    </row>
    <row r="43" spans="1:42" ht="23.25" customHeight="1">
      <c r="A43" s="1279" t="s">
        <v>260</v>
      </c>
      <c r="B43" s="1279" t="s">
        <v>261</v>
      </c>
      <c r="C43" s="1279" t="s">
        <v>262</v>
      </c>
      <c r="D43" s="1279"/>
      <c r="E43" s="2271"/>
      <c r="F43" s="2271"/>
      <c r="G43" s="2270">
        <v>1</v>
      </c>
      <c r="H43" s="1279"/>
      <c r="I43" s="1279"/>
      <c r="J43" s="1279"/>
      <c r="K43" s="1279"/>
      <c r="L43" s="1280"/>
      <c r="M43" s="1281"/>
      <c r="N43" s="1281"/>
      <c r="O43" s="1281"/>
      <c r="P43" s="279"/>
      <c r="Q43" s="277"/>
      <c r="R43" s="278"/>
      <c r="S43" s="1403" t="str">
        <f>INDEX(PT_DIFFERENTIATION_NUM_CS,MATCH(C43,PT_DIFFERENTIATION_CS_ID,0))</f>
        <v>..</v>
      </c>
      <c r="T43" s="229" t="s">
        <v>506</v>
      </c>
      <c r="U43" s="218"/>
      <c r="V43" s="2256"/>
      <c r="W43" s="2257"/>
      <c r="X43" s="2257"/>
      <c r="Y43" s="2257"/>
      <c r="Z43" s="2257"/>
      <c r="AA43" s="2257"/>
      <c r="AB43" s="2258"/>
      <c r="AC43" s="2256" t="str">
        <f>INDEX(PT_DIFFERENTIATION_CS,MATCH(C43,PT_DIFFERENTIATION_CS_ID,0))</f>
        <v/>
      </c>
      <c r="AD43" s="2257"/>
      <c r="AE43" s="2257"/>
      <c r="AF43" s="2257"/>
      <c r="AG43" s="2257"/>
      <c r="AH43" s="2257"/>
      <c r="AI43" s="2257"/>
      <c r="AJ43" s="2258"/>
      <c r="AK43" s="1177" t="s">
        <v>507</v>
      </c>
      <c r="AM43" s="426"/>
      <c r="AN43" s="426" t="str">
        <f t="shared" si="1"/>
        <v>Наименование централизованной системы водоотведения</v>
      </c>
      <c r="AO43" s="426"/>
      <c r="AP43" s="426"/>
    </row>
    <row r="44" spans="1:42" ht="23.25" customHeight="1">
      <c r="A44" s="1279" t="s">
        <v>260</v>
      </c>
      <c r="B44" s="1279" t="s">
        <v>261</v>
      </c>
      <c r="C44" s="1279" t="s">
        <v>262</v>
      </c>
      <c r="D44" s="1279" t="s">
        <v>511</v>
      </c>
      <c r="E44" s="2271"/>
      <c r="F44" s="2271"/>
      <c r="G44" s="2271"/>
      <c r="H44" s="2271"/>
      <c r="I44" s="2268" t="str">
        <f>S43&amp;".1"</f>
        <v>...1</v>
      </c>
      <c r="J44" s="1279"/>
      <c r="K44" s="1279"/>
      <c r="L44" s="1280"/>
      <c r="P44" s="2269">
        <v>1</v>
      </c>
      <c r="Q44" s="1391"/>
      <c r="R44" s="281"/>
      <c r="S44" s="1403" t="str">
        <f>$I44</f>
        <v>...1</v>
      </c>
      <c r="T44" s="203" t="s">
        <v>471</v>
      </c>
      <c r="U44" s="218"/>
      <c r="V44" s="2329"/>
      <c r="W44" s="2330"/>
      <c r="X44" s="2330"/>
      <c r="Y44" s="2330"/>
      <c r="Z44" s="2330"/>
      <c r="AA44" s="2330"/>
      <c r="AB44" s="2331"/>
      <c r="AC44" s="2332"/>
      <c r="AD44" s="2333"/>
      <c r="AE44" s="2333"/>
      <c r="AF44" s="2333"/>
      <c r="AG44" s="2333"/>
      <c r="AH44" s="2333"/>
      <c r="AI44" s="2333"/>
      <c r="AJ44" s="2334"/>
      <c r="AK44" s="1177" t="s">
        <v>472</v>
      </c>
      <c r="AM44" s="426"/>
      <c r="AN44" s="426" t="str">
        <f t="shared" si="1"/>
        <v>Наименование признака дифференциации</v>
      </c>
      <c r="AO44" s="426"/>
      <c r="AP44" s="426"/>
    </row>
    <row r="45" spans="1:42" ht="23.25" customHeight="1">
      <c r="A45" s="1279" t="s">
        <v>260</v>
      </c>
      <c r="B45" s="1279" t="s">
        <v>261</v>
      </c>
      <c r="C45" s="1279" t="s">
        <v>262</v>
      </c>
      <c r="D45" s="1279" t="s">
        <v>511</v>
      </c>
      <c r="E45" s="2271"/>
      <c r="F45" s="2271"/>
      <c r="G45" s="2271"/>
      <c r="H45" s="2271"/>
      <c r="I45" s="2291"/>
      <c r="J45" s="2268" t="str">
        <f>I44&amp;".1"</f>
        <v>...1.1</v>
      </c>
      <c r="K45" s="1279"/>
      <c r="L45" s="1280" t="s">
        <v>397</v>
      </c>
      <c r="P45" s="2269"/>
      <c r="Q45" s="2269">
        <v>1</v>
      </c>
      <c r="R45" s="282"/>
      <c r="S45" s="1403" t="str">
        <f>$J45</f>
        <v>...1.1</v>
      </c>
      <c r="T45" s="204" t="s">
        <v>398</v>
      </c>
      <c r="U45" s="218"/>
      <c r="V45" s="2259"/>
      <c r="W45" s="2260"/>
      <c r="X45" s="2260"/>
      <c r="Y45" s="2260"/>
      <c r="Z45" s="2260"/>
      <c r="AA45" s="2260"/>
      <c r="AB45" s="2261"/>
      <c r="AC45" s="2259"/>
      <c r="AD45" s="2260"/>
      <c r="AE45" s="2260"/>
      <c r="AF45" s="2260"/>
      <c r="AG45" s="2260"/>
      <c r="AH45" s="2260"/>
      <c r="AI45" s="2260"/>
      <c r="AJ45" s="2261"/>
      <c r="AK45" s="1226" t="s">
        <v>473</v>
      </c>
      <c r="AM45" s="426"/>
      <c r="AN45" s="426" t="str">
        <f t="shared" si="1"/>
        <v>Группа потребителей</v>
      </c>
      <c r="AO45" s="426"/>
      <c r="AP45" s="426"/>
    </row>
    <row r="46" spans="1:42" ht="23.25" customHeight="1">
      <c r="A46" s="1279" t="s">
        <v>260</v>
      </c>
      <c r="B46" s="1279" t="s">
        <v>261</v>
      </c>
      <c r="C46" s="1279" t="s">
        <v>262</v>
      </c>
      <c r="D46" s="1279" t="s">
        <v>511</v>
      </c>
      <c r="E46" s="2271"/>
      <c r="F46" s="2271"/>
      <c r="G46" s="2271"/>
      <c r="H46" s="2271"/>
      <c r="I46" s="2291"/>
      <c r="J46" s="2291"/>
      <c r="K46" s="2268" t="str">
        <f>J45&amp;".1"</f>
        <v>...1.1.1</v>
      </c>
      <c r="L46" s="1280"/>
      <c r="P46" s="2269"/>
      <c r="Q46" s="2269"/>
      <c r="R46" s="282">
        <v>1</v>
      </c>
      <c r="S46" s="1403" t="str">
        <f>$K46</f>
        <v>...1.1.1</v>
      </c>
      <c r="T46" s="1352"/>
      <c r="U46" s="218"/>
      <c r="V46" s="1276"/>
      <c r="W46" s="1276"/>
      <c r="X46" s="1277"/>
      <c r="Y46" s="2275"/>
      <c r="Z46" s="2276" t="s">
        <v>61</v>
      </c>
      <c r="AA46" s="2275"/>
      <c r="AB46" s="2276" t="s">
        <v>61</v>
      </c>
      <c r="AC46" s="668"/>
      <c r="AD46" s="668"/>
      <c r="AE46" s="1176"/>
      <c r="AF46" s="2273"/>
      <c r="AG46" s="2124" t="s">
        <v>61</v>
      </c>
      <c r="AH46" s="2292"/>
      <c r="AI46" s="2124" t="s">
        <v>56</v>
      </c>
      <c r="AJ46" s="1353"/>
      <c r="AK46"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79" t="s">
        <v>260</v>
      </c>
      <c r="B47" s="1279" t="s">
        <v>261</v>
      </c>
      <c r="C47" s="1279" t="s">
        <v>262</v>
      </c>
      <c r="D47" s="1279" t="s">
        <v>511</v>
      </c>
      <c r="E47" s="2271"/>
      <c r="F47" s="2271"/>
      <c r="G47" s="2271"/>
      <c r="H47" s="2271"/>
      <c r="I47" s="2291"/>
      <c r="J47" s="2291"/>
      <c r="K47" s="2268"/>
      <c r="L47" s="1280"/>
      <c r="P47" s="2269"/>
      <c r="Q47" s="2269"/>
      <c r="R47" s="282"/>
      <c r="S47" s="1400"/>
      <c r="T47" s="218"/>
      <c r="U47" s="218"/>
      <c r="V47" s="1276"/>
      <c r="W47" s="1276"/>
      <c r="X47" s="254" t="str">
        <f>Y46&amp;"-"&amp;AA46</f>
        <v>-</v>
      </c>
      <c r="Y47" s="2276"/>
      <c r="Z47" s="2276"/>
      <c r="AA47" s="2276"/>
      <c r="AB47" s="2276"/>
      <c r="AC47" s="250"/>
      <c r="AD47" s="250"/>
      <c r="AE47" s="254" t="str">
        <f>AF46&amp;"-"&amp;AH46</f>
        <v>-</v>
      </c>
      <c r="AF47" s="2274"/>
      <c r="AG47" s="2124"/>
      <c r="AH47" s="2293"/>
      <c r="AI47" s="2124"/>
      <c r="AJ47" s="1354"/>
      <c r="AK47" s="2328"/>
      <c r="AM47" s="426"/>
      <c r="AN47" s="426" t="str">
        <f t="shared" si="1"/>
        <v/>
      </c>
      <c r="AO47" s="426"/>
      <c r="AP47" s="426"/>
    </row>
    <row r="48" spans="1:42" ht="21" customHeight="1">
      <c r="A48" s="1279" t="s">
        <v>260</v>
      </c>
      <c r="B48" s="1279" t="s">
        <v>261</v>
      </c>
      <c r="C48" s="1279" t="s">
        <v>262</v>
      </c>
      <c r="D48" s="1279" t="s">
        <v>511</v>
      </c>
      <c r="E48" s="2271"/>
      <c r="F48" s="2271"/>
      <c r="G48" s="2271"/>
      <c r="H48" s="2271"/>
      <c r="I48" s="2291"/>
      <c r="J48" s="2268"/>
      <c r="K48" s="1279"/>
      <c r="L48" s="1280"/>
      <c r="P48" s="2269"/>
      <c r="Q48" s="2269"/>
      <c r="R48" s="281"/>
      <c r="S48" s="1198"/>
      <c r="T48" s="205" t="s">
        <v>474</v>
      </c>
      <c r="U48" s="295"/>
      <c r="V48" s="295"/>
      <c r="W48" s="295"/>
      <c r="X48" s="295"/>
      <c r="Y48" s="295"/>
      <c r="Z48" s="295"/>
      <c r="AA48" s="295"/>
      <c r="AB48" s="295"/>
      <c r="AC48" s="295"/>
      <c r="AD48" s="295"/>
      <c r="AE48" s="295"/>
      <c r="AF48" s="295"/>
      <c r="AG48" s="295"/>
      <c r="AH48" s="295"/>
      <c r="AI48" s="295"/>
      <c r="AJ48" s="295"/>
      <c r="AK48" s="1177" t="s">
        <v>475</v>
      </c>
      <c r="AM48" s="426"/>
      <c r="AN48" s="426" t="str">
        <f t="shared" si="1"/>
        <v>Добавить значение признака дифференциации</v>
      </c>
      <c r="AO48" s="426"/>
      <c r="AP48" s="426"/>
    </row>
    <row r="49" spans="1:42" ht="21" customHeight="1">
      <c r="A49" s="1279" t="s">
        <v>260</v>
      </c>
      <c r="B49" s="1279" t="s">
        <v>261</v>
      </c>
      <c r="C49" s="1279" t="s">
        <v>262</v>
      </c>
      <c r="D49" s="1279" t="s">
        <v>511</v>
      </c>
      <c r="E49" s="2271"/>
      <c r="F49" s="2271"/>
      <c r="G49" s="2271"/>
      <c r="H49" s="2271"/>
      <c r="I49" s="2268"/>
      <c r="J49" s="1279"/>
      <c r="K49" s="1279"/>
      <c r="L49" s="1280"/>
      <c r="P49" s="2269"/>
      <c r="Q49" s="1391"/>
      <c r="R49" s="281"/>
      <c r="S49" s="1198"/>
      <c r="T49" s="292" t="s">
        <v>403</v>
      </c>
      <c r="U49" s="295"/>
      <c r="V49" s="295"/>
      <c r="W49" s="295"/>
      <c r="X49" s="295"/>
      <c r="Y49" s="295"/>
      <c r="Z49" s="295"/>
      <c r="AA49" s="295"/>
      <c r="AB49" s="294"/>
      <c r="AC49" s="295"/>
      <c r="AD49" s="295"/>
      <c r="AE49" s="295"/>
      <c r="AF49" s="295"/>
      <c r="AG49" s="295"/>
      <c r="AH49" s="295"/>
      <c r="AI49" s="294"/>
      <c r="AJ49" s="295"/>
      <c r="AK49" s="1355"/>
      <c r="AM49" s="426"/>
      <c r="AN49" s="426" t="str">
        <f t="shared" si="1"/>
        <v>Добавить группу потребителей</v>
      </c>
      <c r="AO49" s="426"/>
      <c r="AP49" s="426"/>
    </row>
    <row r="50" spans="1:42" ht="21" customHeight="1">
      <c r="A50" s="1279" t="s">
        <v>260</v>
      </c>
      <c r="B50" s="1279" t="s">
        <v>261</v>
      </c>
      <c r="C50" s="1279" t="s">
        <v>262</v>
      </c>
      <c r="D50" s="1279" t="s">
        <v>511</v>
      </c>
      <c r="E50" s="2271"/>
      <c r="F50" s="2271"/>
      <c r="G50" s="2271"/>
      <c r="H50" s="2270"/>
      <c r="I50" s="1279"/>
      <c r="J50" s="1279"/>
      <c r="K50" s="1279"/>
      <c r="L50" s="1280"/>
      <c r="M50" s="1281"/>
      <c r="N50" s="1281"/>
      <c r="O50" s="462"/>
      <c r="P50" s="285"/>
      <c r="Q50" s="304"/>
      <c r="R50" s="280"/>
      <c r="S50" s="1198"/>
      <c r="T50" s="300" t="s">
        <v>476</v>
      </c>
      <c r="U50" s="295"/>
      <c r="V50" s="295"/>
      <c r="W50" s="295"/>
      <c r="X50" s="295"/>
      <c r="Y50" s="295"/>
      <c r="Z50" s="295"/>
      <c r="AA50" s="295"/>
      <c r="AB50" s="294"/>
      <c r="AC50" s="295"/>
      <c r="AD50" s="295"/>
      <c r="AE50" s="295"/>
      <c r="AF50" s="295"/>
      <c r="AG50" s="295"/>
      <c r="AH50" s="295"/>
      <c r="AI50" s="294"/>
      <c r="AJ50" s="295"/>
      <c r="AK50" s="221"/>
      <c r="AM50" s="426"/>
      <c r="AN50" s="426" t="str">
        <f t="shared" si="1"/>
        <v>Добавить наименование признака дифференциации</v>
      </c>
      <c r="AO50" s="426"/>
      <c r="AP50" s="426"/>
    </row>
    <row r="51" spans="1:42" s="1930" customFormat="1" ht="0" hidden="1" customHeight="1">
      <c r="A51" s="1260" t="s">
        <v>260</v>
      </c>
      <c r="B51" s="1260" t="s">
        <v>261</v>
      </c>
      <c r="C51" s="1232"/>
      <c r="D51" s="1232"/>
      <c r="E51" s="2271"/>
      <c r="F51" s="2270"/>
      <c r="G51" s="1232"/>
      <c r="H51" s="1232"/>
      <c r="I51" s="1232"/>
      <c r="J51" s="1232"/>
      <c r="K51" s="1232"/>
      <c r="L51" s="1404"/>
      <c r="M51" s="1239"/>
      <c r="N51" s="1239"/>
      <c r="P51" s="1234"/>
      <c r="Q51" s="1235"/>
      <c r="R51" s="1234"/>
      <c r="S51" s="1240"/>
      <c r="T51" s="1243" t="s">
        <v>215</v>
      </c>
      <c r="U51" s="1242"/>
      <c r="V51" s="1242"/>
      <c r="W51" s="1242"/>
      <c r="X51" s="1242"/>
      <c r="Y51" s="1242"/>
      <c r="Z51" s="1242"/>
      <c r="AA51" s="1242"/>
      <c r="AB51" s="1242"/>
      <c r="AC51" s="1242"/>
      <c r="AD51" s="1242"/>
      <c r="AE51" s="1242"/>
      <c r="AF51" s="1242"/>
      <c r="AG51" s="1242"/>
      <c r="AH51" s="1242"/>
      <c r="AI51" s="1242"/>
      <c r="AJ51" s="1242"/>
      <c r="AK51" s="1242"/>
      <c r="AM51" s="706"/>
      <c r="AN51" s="706" t="str">
        <f t="shared" si="1"/>
        <v>Добавить централизованную систему для дифференциации</v>
      </c>
      <c r="AO51" s="706"/>
      <c r="AP51" s="706"/>
    </row>
    <row r="52" spans="1:42" s="1820" customFormat="1" ht="0" hidden="1" customHeight="1">
      <c r="A52" s="1260" t="s">
        <v>260</v>
      </c>
      <c r="B52" s="1260"/>
      <c r="C52" s="1260"/>
      <c r="D52" s="1260"/>
      <c r="E52" s="2270"/>
      <c r="F52" s="1260"/>
      <c r="G52" s="1260"/>
      <c r="H52" s="1260"/>
      <c r="I52" s="1260"/>
      <c r="J52" s="1260"/>
      <c r="K52" s="1260"/>
      <c r="L52" s="1263"/>
      <c r="M52" s="1239"/>
      <c r="N52" s="1239"/>
      <c r="O52" s="444"/>
      <c r="P52" s="313"/>
      <c r="Q52" s="1261"/>
      <c r="R52" s="313"/>
      <c r="S52" s="1240"/>
      <c r="T52" s="1243" t="s">
        <v>216</v>
      </c>
      <c r="U52" s="1242"/>
      <c r="V52" s="1242"/>
      <c r="W52" s="1242"/>
      <c r="X52" s="1242"/>
      <c r="Y52" s="1242"/>
      <c r="Z52" s="1242"/>
      <c r="AA52" s="1242"/>
      <c r="AB52" s="1242"/>
      <c r="AC52" s="1242"/>
      <c r="AD52" s="1242"/>
      <c r="AE52" s="1242"/>
      <c r="AF52" s="1242"/>
      <c r="AG52" s="1242"/>
      <c r="AH52" s="1242"/>
      <c r="AI52" s="1242"/>
      <c r="AJ52" s="1242"/>
      <c r="AK52" s="1242"/>
      <c r="AM52" s="426"/>
      <c r="AN52" s="426" t="str">
        <f t="shared" si="1"/>
        <v>Добавить территорию для дифференциации</v>
      </c>
      <c r="AO52" s="426"/>
      <c r="AP52" s="426"/>
    </row>
    <row r="53" spans="1:42" s="1930" customFormat="1" ht="0" hidden="1" customHeight="1">
      <c r="A53" s="1232"/>
      <c r="B53" s="1232"/>
      <c r="C53" s="1232"/>
      <c r="D53" s="1232"/>
      <c r="E53" s="1260"/>
      <c r="F53" s="1232"/>
      <c r="G53" s="1232"/>
      <c r="H53" s="1232"/>
      <c r="I53" s="1232"/>
      <c r="J53" s="1232"/>
      <c r="K53" s="1232"/>
      <c r="L53" s="1404"/>
      <c r="M53" s="1239"/>
      <c r="N53" s="1239"/>
      <c r="P53" s="1234"/>
      <c r="Q53" s="1235"/>
      <c r="R53" s="1234"/>
      <c r="S53" s="1240"/>
      <c r="T53" s="1243" t="s">
        <v>217</v>
      </c>
      <c r="U53" s="1242"/>
      <c r="V53" s="1242"/>
      <c r="W53" s="1242"/>
      <c r="X53" s="1242"/>
      <c r="Y53" s="1242"/>
      <c r="Z53" s="1242"/>
      <c r="AA53" s="1242"/>
      <c r="AB53" s="1242"/>
      <c r="AC53" s="1242"/>
      <c r="AD53" s="1242"/>
      <c r="AE53" s="1242"/>
      <c r="AF53" s="1242"/>
      <c r="AG53" s="1242"/>
      <c r="AH53" s="1242"/>
      <c r="AI53" s="1242"/>
      <c r="AJ53" s="1242"/>
      <c r="AK53" s="1242"/>
      <c r="AM53" s="706"/>
      <c r="AN53" s="706" t="str">
        <f t="shared" si="1"/>
        <v>Добавить наименование тарифа</v>
      </c>
      <c r="AO53" s="706"/>
      <c r="AP53" s="706"/>
    </row>
    <row r="54" spans="1:42" ht="11.25" customHeight="1">
      <c r="M54" s="1060"/>
      <c r="N54" s="1060"/>
      <c r="O54" s="462"/>
      <c r="P54" s="1055"/>
      <c r="Q54" s="1055"/>
      <c r="R54" s="1055"/>
      <c r="S54" s="1055"/>
      <c r="AL54" s="1055"/>
      <c r="AM54" s="1055"/>
      <c r="AN54" s="1055"/>
      <c r="AO54" s="1055"/>
      <c r="AP54" s="1055"/>
    </row>
    <row r="55" spans="1:42" ht="14.25" customHeight="1">
      <c r="O55" s="462"/>
      <c r="S55" s="1164"/>
      <c r="T55" s="2290"/>
      <c r="U55" s="2290"/>
      <c r="V55" s="2290"/>
      <c r="W55" s="2290"/>
      <c r="X55" s="2290"/>
      <c r="Y55" s="2290"/>
      <c r="Z55" s="2290"/>
      <c r="AA55" s="2290"/>
      <c r="AB55" s="2290"/>
      <c r="AC55" s="2290"/>
      <c r="AD55" s="2290"/>
      <c r="AE55" s="2290"/>
      <c r="AF55" s="2290"/>
      <c r="AG55" s="2290"/>
      <c r="AH55" s="2290"/>
      <c r="AI55" s="2290"/>
      <c r="AJ55" s="2290"/>
      <c r="AK55" s="2290"/>
    </row>
    <row r="56" spans="1:42" ht="14.25" customHeight="1">
      <c r="O56" s="462"/>
    </row>
    <row r="57" spans="1:42" ht="14.25" customHeight="1">
      <c r="O57" s="462"/>
      <c r="S57" s="1164"/>
      <c r="T57" s="2290"/>
      <c r="U57" s="2290"/>
      <c r="V57" s="2290"/>
      <c r="W57" s="2290"/>
      <c r="X57" s="2290"/>
      <c r="Y57" s="2290"/>
      <c r="Z57" s="2290"/>
      <c r="AA57" s="2290"/>
      <c r="AB57" s="2290"/>
      <c r="AC57" s="2290"/>
      <c r="AD57" s="2290"/>
      <c r="AE57" s="2290"/>
      <c r="AF57" s="2290"/>
      <c r="AG57" s="2290"/>
      <c r="AH57" s="2290"/>
      <c r="AI57" s="2290"/>
      <c r="AJ57" s="2290"/>
      <c r="AK57" s="229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8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8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8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8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8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8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8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8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A0B19-DAC5-D24F-0946-D6AE3309CDEE}">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931" hidden="1" customWidth="1"/>
    <col min="2" max="2" width="11" style="1931" hidden="1" customWidth="1"/>
    <col min="3" max="3" width="10.5703125" style="1931" hidden="1"/>
    <col min="4" max="4" width="12.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2" style="1931" hidden="1" customWidth="1"/>
    <col min="10" max="10" width="9.85546875" style="1931" hidden="1" customWidth="1"/>
    <col min="11" max="11" width="11.42578125" style="1931" hidden="1" customWidth="1"/>
    <col min="12" max="12" width="19.140625" style="2008" hidden="1" customWidth="1"/>
    <col min="13" max="14" width="12.28515625" style="1933" hidden="1" customWidth="1"/>
    <col min="15" max="15" width="23.42578125" style="1933" hidden="1" customWidth="1"/>
    <col min="16" max="16" width="3.7109375" style="1933" hidden="1" customWidth="1"/>
    <col min="17" max="17" width="3.7109375" style="1934" hidden="1" customWidth="1"/>
    <col min="18" max="18" width="3.7109375" style="1939" customWidth="1"/>
    <col min="19" max="19" width="12.7109375" style="1940" customWidth="1"/>
    <col min="20" max="20" width="32" style="1905" customWidth="1"/>
    <col min="21" max="21" width="0.140625" style="1905" customWidth="1"/>
    <col min="22" max="25" width="21.7109375" style="1905" hidden="1" customWidth="1"/>
    <col min="26" max="26" width="11.7109375" style="1905" hidden="1" customWidth="1"/>
    <col min="27" max="27" width="3.7109375" style="1905" hidden="1" customWidth="1"/>
    <col min="28" max="28" width="11.7109375" style="1905" hidden="1" customWidth="1"/>
    <col min="29" max="29" width="8.5703125" style="1905" hidden="1" customWidth="1"/>
    <col min="30" max="32" width="3.7109375" style="1905" customWidth="1"/>
    <col min="33" max="33" width="24.7109375" style="1905" customWidth="1"/>
    <col min="34" max="36" width="3.7109375" style="1905" customWidth="1"/>
    <col min="37" max="37" width="24.7109375" style="1905" customWidth="1"/>
    <col min="38" max="40" width="3.7109375" style="1905" customWidth="1"/>
    <col min="41" max="41" width="18.85546875" style="1905" customWidth="1"/>
    <col min="42" max="44" width="3.7109375" style="1905" customWidth="1"/>
    <col min="45" max="45" width="18.85546875" style="1905" customWidth="1"/>
    <col min="46" max="49" width="21.7109375" style="1905" customWidth="1"/>
    <col min="50" max="50" width="11.7109375" style="1905" customWidth="1"/>
    <col min="51" max="51" width="3.7109375" style="1905" customWidth="1"/>
    <col min="52" max="52" width="11.7109375" style="1905" customWidth="1"/>
    <col min="53" max="53" width="8.5703125" style="1905" hidden="1" customWidth="1"/>
    <col min="54" max="54" width="4.7109375" style="1905" customWidth="1"/>
    <col min="55" max="55" width="115.7109375" style="1905" customWidth="1"/>
    <col min="56" max="57" width="10.5703125" style="1820"/>
    <col min="58" max="58" width="11.140625" style="1820" customWidth="1"/>
    <col min="59" max="60" width="10.5703125" style="1820"/>
  </cols>
  <sheetData>
    <row r="1" spans="1:60" ht="14.25" hidden="1" customHeight="1">
      <c r="W1" s="253"/>
      <c r="Y1" s="253"/>
      <c r="Z1" s="253"/>
      <c r="AW1" s="253"/>
      <c r="AX1" s="253"/>
    </row>
    <row r="2" spans="1:60" ht="21" hidden="1" customHeight="1">
      <c r="A2" s="1279"/>
      <c r="B2" s="1279"/>
      <c r="C2" s="1279"/>
      <c r="D2" s="1279"/>
      <c r="E2" s="2270">
        <v>1</v>
      </c>
      <c r="F2" s="1279"/>
      <c r="G2" s="1279"/>
      <c r="H2" s="1279"/>
      <c r="I2" s="1279"/>
      <c r="J2" s="1279"/>
      <c r="K2" s="1279"/>
      <c r="L2" s="1280"/>
      <c r="M2" s="1281"/>
      <c r="N2" s="1281"/>
      <c r="O2" s="1281"/>
      <c r="P2" s="1325"/>
      <c r="Q2" s="786"/>
      <c r="R2" s="280"/>
      <c r="S2" s="1403" t="e">
        <f>INDEX(PT_DIFFERENTIATION_NUM_NTAR,MATCH(A2,PT_DIFFERENTIATION_NTAR_ID,0))</f>
        <v>#N/A</v>
      </c>
      <c r="T2" s="216" t="s">
        <v>122</v>
      </c>
      <c r="U2" s="218"/>
      <c r="V2" s="2257"/>
      <c r="W2" s="2257"/>
      <c r="X2" s="2257"/>
      <c r="Y2" s="2257"/>
      <c r="Z2" s="2257"/>
      <c r="AA2" s="2257"/>
      <c r="AB2" s="2257"/>
      <c r="AC2" s="2258"/>
      <c r="AD2" s="2256" t="e">
        <f>INDEX(PT_DIFFERENTIATION_NTAR,MATCH(A2,PT_DIFFERENTIATION_NTAR_ID,0))</f>
        <v>#N/A</v>
      </c>
      <c r="AE2" s="2257"/>
      <c r="AF2" s="2257"/>
      <c r="AG2" s="2257"/>
      <c r="AH2" s="2257"/>
      <c r="AI2" s="2257"/>
      <c r="AJ2" s="2257"/>
      <c r="AK2" s="2257"/>
      <c r="AL2" s="2257"/>
      <c r="AM2" s="2257"/>
      <c r="AN2" s="2257"/>
      <c r="AO2" s="2257"/>
      <c r="AP2" s="2257"/>
      <c r="AQ2" s="2257"/>
      <c r="AR2" s="2257"/>
      <c r="AS2" s="2257"/>
      <c r="AT2" s="2257"/>
      <c r="AU2" s="2257"/>
      <c r="AV2" s="2257"/>
      <c r="AW2" s="2257"/>
      <c r="AX2" s="2257"/>
      <c r="AY2" s="2257"/>
      <c r="AZ2" s="2257"/>
      <c r="BA2" s="2257"/>
      <c r="BB2" s="2258"/>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6"/>
      <c r="BF2" s="426" t="str">
        <f t="shared" ref="BF2:BF8" si="0">IF(T2="","",T2)</f>
        <v>Наименование тарифа</v>
      </c>
      <c r="BG2" s="426"/>
      <c r="BH2" s="426"/>
    </row>
    <row r="3" spans="1:60" ht="21" hidden="1" customHeight="1">
      <c r="A3" s="1279"/>
      <c r="B3" s="1279"/>
      <c r="C3" s="1279"/>
      <c r="D3" s="1279"/>
      <c r="E3" s="2271"/>
      <c r="F3" s="2270">
        <v>1</v>
      </c>
      <c r="G3" s="1279"/>
      <c r="H3" s="1279"/>
      <c r="I3" s="1279"/>
      <c r="J3" s="1279"/>
      <c r="K3" s="1279"/>
      <c r="L3" s="1280"/>
      <c r="M3" s="1281"/>
      <c r="N3" s="1281"/>
      <c r="O3" s="1281"/>
      <c r="P3" s="1326"/>
      <c r="Q3" s="1327"/>
      <c r="R3" s="278"/>
      <c r="S3" s="1403" t="e">
        <f>INDEX(PT_DIFFERENTIATION_NUM_TER,MATCH(B3,PT_DIFFERENTIATION_TER_ID,0))</f>
        <v>#N/A</v>
      </c>
      <c r="T3" s="228" t="s">
        <v>388</v>
      </c>
      <c r="U3" s="218"/>
      <c r="V3" s="2257"/>
      <c r="W3" s="2257"/>
      <c r="X3" s="2257"/>
      <c r="Y3" s="2257"/>
      <c r="Z3" s="2257"/>
      <c r="AA3" s="2257"/>
      <c r="AB3" s="2257"/>
      <c r="AC3" s="2258"/>
      <c r="AD3" s="2256" t="e">
        <f>INDEX(PT_DIFFERENTIATION_TER,MATCH(B3,PT_DIFFERENTIATION_TER_ID,0))</f>
        <v>#N/A</v>
      </c>
      <c r="AE3" s="2257"/>
      <c r="AF3" s="2257"/>
      <c r="AG3" s="2257"/>
      <c r="AH3" s="2257"/>
      <c r="AI3" s="2257"/>
      <c r="AJ3" s="2257"/>
      <c r="AK3" s="2257"/>
      <c r="AL3" s="2257"/>
      <c r="AM3" s="2257"/>
      <c r="AN3" s="2257"/>
      <c r="AO3" s="2257"/>
      <c r="AP3" s="2257"/>
      <c r="AQ3" s="2257"/>
      <c r="AR3" s="2257"/>
      <c r="AS3" s="2257"/>
      <c r="AT3" s="2257"/>
      <c r="AU3" s="2257"/>
      <c r="AV3" s="2257"/>
      <c r="AW3" s="2257"/>
      <c r="AX3" s="2257"/>
      <c r="AY3" s="2257"/>
      <c r="AZ3" s="2257"/>
      <c r="BA3" s="2257"/>
      <c r="BB3" s="2258"/>
      <c r="BC3" s="1177" t="s">
        <v>389</v>
      </c>
      <c r="BE3" s="426"/>
      <c r="BF3" s="426" t="str">
        <f t="shared" si="0"/>
        <v>Территория действия тарифа</v>
      </c>
      <c r="BG3" s="426"/>
      <c r="BH3" s="426"/>
    </row>
    <row r="4" spans="1:60" ht="33.75" hidden="1" customHeight="1">
      <c r="A4" s="1279"/>
      <c r="B4" s="1279"/>
      <c r="C4" s="1279"/>
      <c r="D4" s="1279"/>
      <c r="E4" s="2271"/>
      <c r="F4" s="2271"/>
      <c r="G4" s="2270">
        <v>1</v>
      </c>
      <c r="H4" s="1279"/>
      <c r="I4" s="1279"/>
      <c r="J4" s="1279"/>
      <c r="K4" s="1279"/>
      <c r="L4" s="1280"/>
      <c r="M4" s="1281"/>
      <c r="N4" s="1281"/>
      <c r="O4" s="1281"/>
      <c r="P4" s="1328"/>
      <c r="Q4" s="1327"/>
      <c r="R4" s="278"/>
      <c r="S4" s="1403" t="e">
        <f>INDEX(PT_DIFFERENTIATION_NUM_CS,MATCH(C4,PT_DIFFERENTIATION_CS_ID,0))</f>
        <v>#N/A</v>
      </c>
      <c r="T4" s="229" t="s">
        <v>506</v>
      </c>
      <c r="U4" s="218"/>
      <c r="V4" s="2257"/>
      <c r="W4" s="2257"/>
      <c r="X4" s="2257"/>
      <c r="Y4" s="2257"/>
      <c r="Z4" s="2257"/>
      <c r="AA4" s="2257"/>
      <c r="AB4" s="2257"/>
      <c r="AC4" s="2258"/>
      <c r="AD4" s="2256" t="e">
        <f>INDEX(PT_DIFFERENTIATION_CS,MATCH(C4,PT_DIFFERENTIATION_CS_ID,0))</f>
        <v>#N/A</v>
      </c>
      <c r="AE4" s="2257"/>
      <c r="AF4" s="2257"/>
      <c r="AG4" s="2257"/>
      <c r="AH4" s="2257"/>
      <c r="AI4" s="2257"/>
      <c r="AJ4" s="2257"/>
      <c r="AK4" s="2257"/>
      <c r="AL4" s="2257"/>
      <c r="AM4" s="2257"/>
      <c r="AN4" s="2257"/>
      <c r="AO4" s="2257"/>
      <c r="AP4" s="2257"/>
      <c r="AQ4" s="2257"/>
      <c r="AR4" s="2257"/>
      <c r="AS4" s="2257"/>
      <c r="AT4" s="2257"/>
      <c r="AU4" s="2257"/>
      <c r="AV4" s="2257"/>
      <c r="AW4" s="2257"/>
      <c r="AX4" s="2257"/>
      <c r="AY4" s="2257"/>
      <c r="AZ4" s="2257"/>
      <c r="BA4" s="2257"/>
      <c r="BB4" s="2258"/>
      <c r="BC4" s="1177" t="s">
        <v>507</v>
      </c>
      <c r="BE4" s="426"/>
      <c r="BF4" s="426" t="str">
        <f t="shared" si="0"/>
        <v>Наименование централизованной системы водоотведения</v>
      </c>
      <c r="BG4" s="426"/>
      <c r="BH4" s="426"/>
    </row>
    <row r="5" spans="1:60" s="1820" customFormat="1" ht="14.25" hidden="1" customHeight="1">
      <c r="A5" s="1260"/>
      <c r="B5" s="1260"/>
      <c r="C5" s="1260"/>
      <c r="D5" s="1260"/>
      <c r="E5" s="2271"/>
      <c r="F5" s="2271"/>
      <c r="G5" s="2271"/>
      <c r="H5" s="2270">
        <v>1</v>
      </c>
      <c r="I5" s="1260"/>
      <c r="J5" s="1260"/>
      <c r="K5" s="1260"/>
      <c r="L5" s="1263"/>
      <c r="M5" s="1233"/>
      <c r="N5" s="1233"/>
      <c r="O5" s="1233"/>
      <c r="P5" s="1407"/>
      <c r="Q5" s="1408"/>
      <c r="R5" s="282"/>
      <c r="S5" s="949"/>
      <c r="T5" s="1409"/>
      <c r="U5" s="1300"/>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01" t="s">
        <v>393</v>
      </c>
      <c r="BE5" s="426"/>
      <c r="BF5" s="426" t="str">
        <f t="shared" si="0"/>
        <v/>
      </c>
      <c r="BG5" s="426"/>
      <c r="BH5" s="426"/>
    </row>
    <row r="6" spans="1:60" s="1820" customFormat="1" ht="14.25" hidden="1" customHeight="1">
      <c r="A6" s="1260"/>
      <c r="B6" s="1260"/>
      <c r="C6" s="1260"/>
      <c r="D6" s="1260"/>
      <c r="E6" s="2271"/>
      <c r="F6" s="2271"/>
      <c r="G6" s="2271"/>
      <c r="H6" s="2271"/>
      <c r="I6" s="2268" t="str">
        <f>S5&amp;".1"</f>
        <v>.1</v>
      </c>
      <c r="J6" s="1260"/>
      <c r="K6" s="1260"/>
      <c r="L6" s="1263" t="s">
        <v>394</v>
      </c>
      <c r="M6" s="436"/>
      <c r="N6" s="436"/>
      <c r="O6" s="436"/>
      <c r="P6" s="2269">
        <v>1</v>
      </c>
      <c r="Q6" s="1391"/>
      <c r="R6" s="281"/>
      <c r="S6" s="949"/>
      <c r="T6" s="1299"/>
      <c r="U6" s="1300"/>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01"/>
      <c r="BE6" s="426"/>
      <c r="BF6" s="426" t="str">
        <f t="shared" si="0"/>
        <v/>
      </c>
      <c r="BG6" s="426"/>
      <c r="BH6" s="426"/>
    </row>
    <row r="7" spans="1:60" s="1820" customFormat="1" ht="14.25" hidden="1" customHeight="1">
      <c r="A7" s="1260"/>
      <c r="B7" s="1260"/>
      <c r="C7" s="1260"/>
      <c r="D7" s="1260"/>
      <c r="E7" s="2271"/>
      <c r="F7" s="2271"/>
      <c r="G7" s="2271"/>
      <c r="H7" s="2271"/>
      <c r="I7" s="2291"/>
      <c r="J7" s="2268" t="str">
        <f>S5&amp;".1"</f>
        <v>.1</v>
      </c>
      <c r="K7" s="1260"/>
      <c r="L7" s="1263"/>
      <c r="M7" s="436"/>
      <c r="N7" s="436"/>
      <c r="O7" s="436"/>
      <c r="P7" s="2269"/>
      <c r="Q7" s="2269">
        <v>1</v>
      </c>
      <c r="R7" s="282"/>
      <c r="S7" s="949"/>
      <c r="T7" s="1315"/>
      <c r="U7" s="1300"/>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01"/>
      <c r="BE7" s="426"/>
      <c r="BF7" s="426" t="str">
        <f t="shared" si="0"/>
        <v/>
      </c>
      <c r="BG7" s="426"/>
      <c r="BH7" s="426"/>
    </row>
    <row r="8" spans="1:60" ht="11.25" hidden="1" customHeight="1">
      <c r="A8" s="1279"/>
      <c r="B8" s="1279"/>
      <c r="C8" s="1279"/>
      <c r="D8" s="1279"/>
      <c r="E8" s="2271"/>
      <c r="F8" s="2271"/>
      <c r="G8" s="2271"/>
      <c r="H8" s="2271"/>
      <c r="I8" s="2291"/>
      <c r="J8" s="2291"/>
      <c r="K8" s="2268" t="e">
        <f>S4&amp;".1"</f>
        <v>#N/A</v>
      </c>
      <c r="L8" s="1280"/>
      <c r="P8" s="2269"/>
      <c r="Q8" s="2269"/>
      <c r="R8" s="2326">
        <v>1</v>
      </c>
      <c r="S8" s="2320" t="e">
        <f>$K8</f>
        <v>#N/A</v>
      </c>
      <c r="T8" s="2338"/>
      <c r="U8" s="218"/>
      <c r="V8" s="668"/>
      <c r="W8" s="1176"/>
      <c r="X8" s="668"/>
      <c r="Y8" s="1176"/>
      <c r="Z8" s="1644"/>
      <c r="AA8" s="1380" t="s">
        <v>61</v>
      </c>
      <c r="AB8" s="1644"/>
      <c r="AC8" s="1380" t="s">
        <v>61</v>
      </c>
      <c r="AD8" s="2195" t="s">
        <v>61</v>
      </c>
      <c r="AE8" s="2306"/>
      <c r="AF8" s="2224">
        <v>1</v>
      </c>
      <c r="AG8" s="2342"/>
      <c r="AH8" s="2124" t="s">
        <v>61</v>
      </c>
      <c r="AI8" s="2306"/>
      <c r="AJ8" s="2224">
        <v>1</v>
      </c>
      <c r="AK8" s="2341" t="s">
        <v>24</v>
      </c>
      <c r="AL8" s="2124" t="s">
        <v>61</v>
      </c>
      <c r="AM8" s="2214"/>
      <c r="AN8" s="2224">
        <v>1</v>
      </c>
      <c r="AO8" s="2335"/>
      <c r="AP8" s="2336" t="s">
        <v>61</v>
      </c>
      <c r="AQ8" s="231"/>
      <c r="AR8" s="1396">
        <v>1</v>
      </c>
      <c r="AS8" s="1402" t="s">
        <v>24</v>
      </c>
      <c r="AT8" s="668"/>
      <c r="AU8" s="1176"/>
      <c r="AV8" s="668"/>
      <c r="AW8" s="1176"/>
      <c r="AX8" s="1644"/>
      <c r="AY8" s="1380" t="s">
        <v>61</v>
      </c>
      <c r="AZ8" s="1644"/>
      <c r="BA8" s="1380" t="s">
        <v>61</v>
      </c>
      <c r="BB8" s="1265"/>
      <c r="BC8" s="2265" t="s">
        <v>491</v>
      </c>
      <c r="BE8" s="426"/>
      <c r="BF8" s="426" t="str">
        <f t="shared" si="0"/>
        <v/>
      </c>
      <c r="BG8" s="426"/>
      <c r="BH8" s="426"/>
    </row>
    <row r="9" spans="1:60" ht="11.25" hidden="1" customHeight="1">
      <c r="A9" s="1279"/>
      <c r="B9" s="1279"/>
      <c r="C9" s="1279"/>
      <c r="D9" s="1279"/>
      <c r="E9" s="2271"/>
      <c r="F9" s="2271"/>
      <c r="G9" s="2271"/>
      <c r="H9" s="2271"/>
      <c r="I9" s="2291"/>
      <c r="J9" s="2291"/>
      <c r="K9" s="2268"/>
      <c r="L9" s="1280"/>
      <c r="P9" s="2269"/>
      <c r="Q9" s="2269"/>
      <c r="R9" s="2326"/>
      <c r="S9" s="2321"/>
      <c r="T9" s="2339"/>
      <c r="U9" s="218"/>
      <c r="V9" s="1309"/>
      <c r="W9" s="1406"/>
      <c r="X9" s="1309"/>
      <c r="Y9" s="1406"/>
      <c r="Z9" s="1309"/>
      <c r="AA9" s="1309"/>
      <c r="AB9" s="1309"/>
      <c r="AC9" s="1309"/>
      <c r="AD9" s="2196"/>
      <c r="AE9" s="2306"/>
      <c r="AF9" s="2224"/>
      <c r="AG9" s="2342"/>
      <c r="AH9" s="2124"/>
      <c r="AI9" s="2306"/>
      <c r="AJ9" s="2224"/>
      <c r="AK9" s="2341"/>
      <c r="AL9" s="2124"/>
      <c r="AM9" s="2219"/>
      <c r="AN9" s="2224"/>
      <c r="AO9" s="2335"/>
      <c r="AP9" s="2337"/>
      <c r="AQ9" s="238"/>
      <c r="AR9" s="350"/>
      <c r="AS9" s="350" t="s">
        <v>492</v>
      </c>
      <c r="AT9" s="1309"/>
      <c r="AU9" s="1406"/>
      <c r="AV9" s="1309"/>
      <c r="AW9" s="1406"/>
      <c r="AX9" s="1309"/>
      <c r="AY9" s="1309"/>
      <c r="AZ9" s="1309"/>
      <c r="BA9" s="1309"/>
      <c r="BB9" s="1313"/>
      <c r="BC9" s="2266"/>
      <c r="BE9" s="426"/>
      <c r="BF9" s="426"/>
      <c r="BG9" s="426"/>
      <c r="BH9" s="426"/>
    </row>
    <row r="10" spans="1:60" ht="11.25" hidden="1" customHeight="1">
      <c r="A10" s="1279"/>
      <c r="B10" s="1279"/>
      <c r="C10" s="1279"/>
      <c r="D10" s="1279"/>
      <c r="E10" s="2271"/>
      <c r="F10" s="2271"/>
      <c r="G10" s="2271"/>
      <c r="H10" s="2271"/>
      <c r="I10" s="2291"/>
      <c r="J10" s="2291"/>
      <c r="K10" s="2268"/>
      <c r="L10" s="1280"/>
      <c r="P10" s="2269"/>
      <c r="Q10" s="2269"/>
      <c r="R10" s="2326"/>
      <c r="S10" s="2321"/>
      <c r="T10" s="2339"/>
      <c r="U10" s="218"/>
      <c r="V10" s="1309"/>
      <c r="W10" s="1406"/>
      <c r="X10" s="1309"/>
      <c r="Y10" s="1406"/>
      <c r="Z10" s="1309"/>
      <c r="AA10" s="1309"/>
      <c r="AB10" s="1309"/>
      <c r="AC10" s="1309"/>
      <c r="AD10" s="2196"/>
      <c r="AE10" s="2306"/>
      <c r="AF10" s="2224"/>
      <c r="AG10" s="2342"/>
      <c r="AH10" s="2124"/>
      <c r="AI10" s="2306"/>
      <c r="AJ10" s="2224"/>
      <c r="AK10" s="2341"/>
      <c r="AL10" s="2124"/>
      <c r="AM10" s="238"/>
      <c r="AN10" s="1410"/>
      <c r="AO10" s="1410" t="s">
        <v>512</v>
      </c>
      <c r="AP10" s="350"/>
      <c r="AQ10" s="350"/>
      <c r="AR10" s="350"/>
      <c r="AS10" s="1309"/>
      <c r="AT10" s="1309"/>
      <c r="AU10" s="1406"/>
      <c r="AV10" s="1309"/>
      <c r="AW10" s="1406"/>
      <c r="AX10" s="1309"/>
      <c r="AY10" s="1309"/>
      <c r="AZ10" s="1309"/>
      <c r="BA10" s="1309"/>
      <c r="BB10" s="1313"/>
      <c r="BC10" s="2266"/>
      <c r="BE10" s="426"/>
      <c r="BF10" s="426"/>
      <c r="BG10" s="426"/>
      <c r="BH10" s="426"/>
    </row>
    <row r="11" spans="1:60" ht="11.25" hidden="1" customHeight="1">
      <c r="A11" s="1279"/>
      <c r="B11" s="1279"/>
      <c r="C11" s="1279"/>
      <c r="D11" s="1279"/>
      <c r="E11" s="2271"/>
      <c r="F11" s="2271"/>
      <c r="G11" s="2271"/>
      <c r="H11" s="2271"/>
      <c r="I11" s="2291"/>
      <c r="J11" s="2291"/>
      <c r="K11" s="2268"/>
      <c r="L11" s="1280"/>
      <c r="P11" s="2269"/>
      <c r="Q11" s="2269"/>
      <c r="R11" s="2326"/>
      <c r="S11" s="2321"/>
      <c r="T11" s="2339"/>
      <c r="U11" s="218"/>
      <c r="V11" s="1309"/>
      <c r="W11" s="1406"/>
      <c r="X11" s="1309"/>
      <c r="Y11" s="1406"/>
      <c r="Z11" s="1309"/>
      <c r="AA11" s="1309"/>
      <c r="AB11" s="1309"/>
      <c r="AC11" s="1309"/>
      <c r="AD11" s="2196"/>
      <c r="AE11" s="2306"/>
      <c r="AF11" s="2224"/>
      <c r="AG11" s="2342"/>
      <c r="AH11" s="2124"/>
      <c r="AI11" s="212"/>
      <c r="AJ11" s="349"/>
      <c r="AK11" s="233" t="s">
        <v>513</v>
      </c>
      <c r="AL11" s="1309"/>
      <c r="AM11" s="1309"/>
      <c r="AN11" s="1309"/>
      <c r="AO11" s="1309"/>
      <c r="AP11" s="1309"/>
      <c r="AQ11" s="1309"/>
      <c r="AR11" s="1309"/>
      <c r="AS11" s="1309"/>
      <c r="AT11" s="1309"/>
      <c r="AU11" s="1406"/>
      <c r="AV11" s="1309"/>
      <c r="AW11" s="1406"/>
      <c r="AX11" s="1309"/>
      <c r="AY11" s="1309"/>
      <c r="AZ11" s="1309"/>
      <c r="BA11" s="1309"/>
      <c r="BB11" s="1313"/>
      <c r="BC11" s="2266"/>
      <c r="BE11" s="426"/>
      <c r="BF11" s="426"/>
      <c r="BG11" s="426"/>
      <c r="BH11" s="426"/>
    </row>
    <row r="12" spans="1:60" ht="11.25" hidden="1" customHeight="1">
      <c r="A12" s="1279"/>
      <c r="B12" s="1279"/>
      <c r="C12" s="1279"/>
      <c r="D12" s="1279"/>
      <c r="E12" s="2271"/>
      <c r="F12" s="2271"/>
      <c r="G12" s="2271"/>
      <c r="H12" s="2271"/>
      <c r="I12" s="2291"/>
      <c r="J12" s="2291"/>
      <c r="K12" s="2268"/>
      <c r="L12" s="1280"/>
      <c r="P12" s="2269"/>
      <c r="Q12" s="2269"/>
      <c r="R12" s="2326"/>
      <c r="S12" s="2322"/>
      <c r="T12" s="2340"/>
      <c r="U12" s="218"/>
      <c r="V12" s="1309"/>
      <c r="W12" s="1310" t="str">
        <f>Z8&amp;"-"&amp;AB8</f>
        <v>-</v>
      </c>
      <c r="X12" s="1309"/>
      <c r="Y12" s="1310" t="str">
        <f>AB8&amp;"-"&amp;AD8</f>
        <v>-да</v>
      </c>
      <c r="Z12" s="1309"/>
      <c r="AA12" s="1309"/>
      <c r="AB12" s="1309"/>
      <c r="AC12" s="1309"/>
      <c r="AD12" s="2129"/>
      <c r="AE12" s="232"/>
      <c r="AF12" s="234"/>
      <c r="AG12" s="350" t="s">
        <v>495</v>
      </c>
      <c r="AH12" s="1309"/>
      <c r="AI12" s="1309"/>
      <c r="AJ12" s="1309"/>
      <c r="AK12" s="1309"/>
      <c r="AL12" s="1309"/>
      <c r="AM12" s="1309"/>
      <c r="AN12" s="1309"/>
      <c r="AO12" s="1309"/>
      <c r="AP12" s="1309"/>
      <c r="AQ12" s="1309"/>
      <c r="AR12" s="1309"/>
      <c r="AS12" s="1309"/>
      <c r="AT12" s="1309"/>
      <c r="AU12" s="1310" t="str">
        <f>AX8&amp;"-"&amp;AZ8</f>
        <v>-</v>
      </c>
      <c r="AV12" s="1309"/>
      <c r="AW12" s="1310" t="str">
        <f>AZ8&amp;"-"&amp;BB8</f>
        <v>-</v>
      </c>
      <c r="AX12" s="1309"/>
      <c r="AY12" s="1309"/>
      <c r="AZ12" s="1309"/>
      <c r="BA12" s="1309"/>
      <c r="BB12" s="1312" t="str">
        <f>BE8&amp;"-"&amp;BG8</f>
        <v>-</v>
      </c>
      <c r="BC12" s="2266"/>
      <c r="BE12" s="426"/>
      <c r="BF12" s="426" t="str">
        <f t="shared" ref="BF12:BF18" si="1">IF(T12="","",T12)</f>
        <v/>
      </c>
      <c r="BG12" s="426"/>
      <c r="BH12" s="426"/>
    </row>
    <row r="13" spans="1:60" ht="11.25" hidden="1" customHeight="1">
      <c r="A13" s="1279"/>
      <c r="B13" s="1279"/>
      <c r="C13" s="1279"/>
      <c r="D13" s="1279"/>
      <c r="E13" s="2271"/>
      <c r="F13" s="2271"/>
      <c r="G13" s="2271"/>
      <c r="H13" s="2271"/>
      <c r="I13" s="2291"/>
      <c r="J13" s="2268"/>
      <c r="K13" s="1279"/>
      <c r="L13" s="1280"/>
      <c r="P13" s="2269"/>
      <c r="Q13" s="2269"/>
      <c r="R13" s="281"/>
      <c r="S13" s="1198"/>
      <c r="T13" s="205" t="s">
        <v>455</v>
      </c>
      <c r="U13" s="295"/>
      <c r="V13" s="295"/>
      <c r="W13" s="295"/>
      <c r="X13" s="295"/>
      <c r="Y13" s="295"/>
      <c r="Z13" s="295"/>
      <c r="AA13" s="295"/>
      <c r="AB13" s="295"/>
      <c r="AC13" s="295"/>
      <c r="AD13" s="1415"/>
      <c r="AE13" s="295"/>
      <c r="AF13" s="295"/>
      <c r="AG13" s="295"/>
      <c r="AH13" s="295"/>
      <c r="AI13" s="295"/>
      <c r="AJ13" s="295"/>
      <c r="AK13" s="295"/>
      <c r="AL13" s="295"/>
      <c r="AM13" s="295"/>
      <c r="AN13" s="295"/>
      <c r="AO13" s="295"/>
      <c r="AP13" s="295"/>
      <c r="AQ13" s="295"/>
      <c r="AR13" s="295"/>
      <c r="AS13" s="295"/>
      <c r="AT13" s="295"/>
      <c r="AU13" s="295"/>
      <c r="AV13" s="295"/>
      <c r="AW13" s="295"/>
      <c r="AX13" s="295"/>
      <c r="AY13" s="295"/>
      <c r="AZ13" s="295"/>
      <c r="BA13" s="295"/>
      <c r="BB13" s="249"/>
      <c r="BC13" s="2267"/>
      <c r="BE13" s="426"/>
      <c r="BF13" s="426" t="str">
        <f t="shared" si="1"/>
        <v>Добавить строку</v>
      </c>
      <c r="BG13" s="426"/>
      <c r="BH13" s="426"/>
    </row>
    <row r="14" spans="1:60" s="1820" customFormat="1" ht="14.25" hidden="1" customHeight="1">
      <c r="A14" s="1260"/>
      <c r="B14" s="1260"/>
      <c r="C14" s="1260"/>
      <c r="D14" s="1260"/>
      <c r="E14" s="2271"/>
      <c r="F14" s="2271"/>
      <c r="G14" s="2271"/>
      <c r="H14" s="2271"/>
      <c r="I14" s="2268"/>
      <c r="J14" s="1260"/>
      <c r="K14" s="1260"/>
      <c r="L14" s="1263"/>
      <c r="M14" s="436"/>
      <c r="N14" s="436"/>
      <c r="O14" s="436"/>
      <c r="P14" s="2269"/>
      <c r="Q14" s="1391"/>
      <c r="R14" s="281"/>
      <c r="S14" s="1302"/>
      <c r="T14" s="1303"/>
      <c r="U14" s="1304"/>
      <c r="V14" s="1304"/>
      <c r="W14" s="1304"/>
      <c r="X14" s="1304"/>
      <c r="Y14" s="1304"/>
      <c r="Z14" s="1304"/>
      <c r="AA14" s="1304"/>
      <c r="AB14" s="1304"/>
      <c r="AC14" s="1304"/>
      <c r="AD14" s="1304"/>
      <c r="AE14" s="1304"/>
      <c r="AF14" s="1304"/>
      <c r="AG14" s="1304"/>
      <c r="AH14" s="1304"/>
      <c r="AI14" s="1304"/>
      <c r="AJ14" s="1304"/>
      <c r="AK14" s="1304"/>
      <c r="AL14" s="1304"/>
      <c r="AM14" s="1304"/>
      <c r="AN14" s="1304"/>
      <c r="AO14" s="1304"/>
      <c r="AP14" s="1304"/>
      <c r="AQ14" s="1304"/>
      <c r="AR14" s="1304"/>
      <c r="AS14" s="1304"/>
      <c r="AT14" s="1304"/>
      <c r="AU14" s="1304"/>
      <c r="AV14" s="1304"/>
      <c r="AW14" s="1304"/>
      <c r="AX14" s="1304"/>
      <c r="AY14" s="1304"/>
      <c r="AZ14" s="1304"/>
      <c r="BA14" s="1304"/>
      <c r="BB14" s="1304"/>
      <c r="BC14" s="1305"/>
      <c r="BE14" s="426"/>
      <c r="BF14" s="426" t="str">
        <f t="shared" si="1"/>
        <v/>
      </c>
      <c r="BG14" s="426"/>
      <c r="BH14" s="426"/>
    </row>
    <row r="15" spans="1:60" s="1820" customFormat="1" ht="14.25" hidden="1" customHeight="1">
      <c r="A15" s="1260"/>
      <c r="B15" s="1260"/>
      <c r="C15" s="1260"/>
      <c r="D15" s="1260"/>
      <c r="E15" s="2271"/>
      <c r="F15" s="2271"/>
      <c r="G15" s="2271"/>
      <c r="H15" s="2270"/>
      <c r="I15" s="1260"/>
      <c r="J15" s="1260"/>
      <c r="K15" s="1260"/>
      <c r="L15" s="1263"/>
      <c r="M15" s="1233"/>
      <c r="N15" s="1233"/>
      <c r="O15" s="444"/>
      <c r="P15" s="313"/>
      <c r="Q15" s="1261"/>
      <c r="R15" s="1317"/>
      <c r="S15" s="1302"/>
      <c r="T15" s="1303"/>
      <c r="U15" s="1304"/>
      <c r="V15" s="1304"/>
      <c r="W15" s="1304"/>
      <c r="X15" s="1304"/>
      <c r="Y15" s="1304"/>
      <c r="Z15" s="1304"/>
      <c r="AA15" s="1304"/>
      <c r="AB15" s="1304"/>
      <c r="AC15" s="1304"/>
      <c r="AD15" s="1304"/>
      <c r="AE15" s="1304"/>
      <c r="AF15" s="1304"/>
      <c r="AG15" s="1304"/>
      <c r="AH15" s="1304"/>
      <c r="AI15" s="1304"/>
      <c r="AJ15" s="1304"/>
      <c r="AK15" s="1304"/>
      <c r="AL15" s="1304"/>
      <c r="AM15" s="1304"/>
      <c r="AN15" s="1304"/>
      <c r="AO15" s="1304"/>
      <c r="AP15" s="1304"/>
      <c r="AQ15" s="1304"/>
      <c r="AR15" s="1304"/>
      <c r="AS15" s="1304"/>
      <c r="AT15" s="1304"/>
      <c r="AU15" s="1304"/>
      <c r="AV15" s="1304"/>
      <c r="AW15" s="1304"/>
      <c r="AX15" s="1304"/>
      <c r="AY15" s="1304"/>
      <c r="AZ15" s="1304"/>
      <c r="BA15" s="1304"/>
      <c r="BB15" s="1304"/>
      <c r="BC15" s="1305"/>
      <c r="BE15" s="426"/>
      <c r="BF15" s="426" t="str">
        <f t="shared" si="1"/>
        <v/>
      </c>
      <c r="BG15" s="426"/>
      <c r="BH15" s="426"/>
    </row>
    <row r="16" spans="1:60" s="1930" customFormat="1" ht="14.25" hidden="1" customHeight="1">
      <c r="A16" s="1260"/>
      <c r="B16" s="1260"/>
      <c r="C16" s="1260"/>
      <c r="D16" s="1232"/>
      <c r="E16" s="2271"/>
      <c r="F16" s="2271"/>
      <c r="G16" s="2270"/>
      <c r="H16" s="1232"/>
      <c r="I16" s="1232"/>
      <c r="J16" s="1232"/>
      <c r="K16" s="1232"/>
      <c r="L16" s="1404"/>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06"/>
      <c r="BF16" s="706" t="str">
        <f t="shared" si="1"/>
        <v/>
      </c>
      <c r="BG16" s="706"/>
      <c r="BH16" s="706"/>
    </row>
    <row r="17" spans="1:60" s="1930" customFormat="1" ht="14.25" hidden="1" customHeight="1">
      <c r="A17" s="1260"/>
      <c r="B17" s="1260"/>
      <c r="C17" s="1232"/>
      <c r="D17" s="1232"/>
      <c r="E17" s="2271"/>
      <c r="F17" s="2270"/>
      <c r="G17" s="1232"/>
      <c r="H17" s="1232"/>
      <c r="I17" s="1232"/>
      <c r="J17" s="1232"/>
      <c r="K17" s="1232"/>
      <c r="L17" s="1404"/>
      <c r="M17" s="1239"/>
      <c r="N17" s="1239"/>
      <c r="P17" s="1234"/>
      <c r="Q17" s="1235"/>
      <c r="R17" s="1234"/>
      <c r="S17" s="1240"/>
      <c r="T17" s="1243" t="s">
        <v>215</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06"/>
      <c r="BF17" s="706" t="str">
        <f t="shared" si="1"/>
        <v>Добавить централизованную систему для дифференциации</v>
      </c>
      <c r="BG17" s="706"/>
      <c r="BH17" s="706"/>
    </row>
    <row r="18" spans="1:60" s="1820" customFormat="1" ht="14.25" hidden="1" customHeight="1">
      <c r="A18" s="1260"/>
      <c r="B18" s="1260"/>
      <c r="C18" s="1260"/>
      <c r="D18" s="1260"/>
      <c r="E18" s="2270"/>
      <c r="F18" s="1260"/>
      <c r="G18" s="1260"/>
      <c r="H18" s="1260"/>
      <c r="I18" s="1260"/>
      <c r="J18" s="1260"/>
      <c r="K18" s="1260"/>
      <c r="L18" s="1263"/>
      <c r="M18" s="1239"/>
      <c r="N18" s="1239"/>
      <c r="O18" s="444"/>
      <c r="P18" s="313"/>
      <c r="Q18" s="1261"/>
      <c r="R18" s="313"/>
      <c r="S18" s="1240"/>
      <c r="T18" s="1243" t="s">
        <v>216</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26"/>
      <c r="BF18" s="426" t="str">
        <f t="shared" si="1"/>
        <v>Добавить территорию для дифференциации</v>
      </c>
      <c r="BG18" s="426"/>
      <c r="BH18" s="426"/>
    </row>
    <row r="19" spans="1:60" ht="14.25" hidden="1" customHeight="1">
      <c r="AC19" s="253"/>
      <c r="BA19" s="253"/>
    </row>
    <row r="20" spans="1:60" ht="14.25" hidden="1" customHeight="1">
      <c r="AD20" s="1242" t="s">
        <v>56</v>
      </c>
      <c r="AE20" s="1411"/>
      <c r="AF20" s="473">
        <v>1</v>
      </c>
      <c r="AG20" s="1412"/>
      <c r="AH20" s="1242" t="s">
        <v>56</v>
      </c>
      <c r="AI20" s="1411"/>
      <c r="AJ20" s="473">
        <v>1</v>
      </c>
      <c r="AK20" s="1412"/>
      <c r="AL20" s="1242" t="s">
        <v>56</v>
      </c>
      <c r="AM20" s="1413"/>
      <c r="AN20" s="473">
        <v>1</v>
      </c>
      <c r="AO20" s="1414"/>
      <c r="AP20" s="1242" t="s">
        <v>56</v>
      </c>
      <c r="AQ20" s="1413"/>
      <c r="AR20" s="473">
        <v>1</v>
      </c>
      <c r="AS20" s="1414"/>
      <c r="AT20" s="250"/>
      <c r="AU20" s="318"/>
      <c r="AV20" s="250"/>
      <c r="AW20" s="318"/>
      <c r="AX20" s="1646"/>
      <c r="AY20" s="1395" t="s">
        <v>61</v>
      </c>
      <c r="AZ20" s="1646"/>
      <c r="BA20" s="1395" t="s">
        <v>61</v>
      </c>
    </row>
    <row r="21" spans="1:60" ht="14.25" hidden="1" customHeight="1">
      <c r="BD21" s="422"/>
      <c r="BE21" s="422"/>
      <c r="BF21" s="422"/>
      <c r="BG21" s="422"/>
      <c r="BH21" s="422"/>
    </row>
    <row r="22" spans="1:60" ht="14.25" hidden="1" customHeight="1">
      <c r="O22" s="1283" t="s">
        <v>406</v>
      </c>
      <c r="Z22" s="1262"/>
      <c r="AB22" s="1262"/>
      <c r="AC22" s="253"/>
      <c r="AX22" s="1262"/>
      <c r="AZ22" s="1262"/>
      <c r="BA22" s="253"/>
      <c r="BD22" s="422"/>
      <c r="BE22" s="422"/>
      <c r="BF22" s="422"/>
      <c r="BG22" s="422"/>
      <c r="BH22" s="422"/>
    </row>
    <row r="23" spans="1:60" ht="14.25" hidden="1" customHeight="1">
      <c r="AC23" s="253"/>
      <c r="BA23" s="253"/>
      <c r="BD23" s="422"/>
      <c r="BE23" s="422"/>
      <c r="BF23" s="422"/>
      <c r="BG23" s="422"/>
      <c r="BH23" s="422"/>
    </row>
    <row r="24" spans="1:60" s="1944" customFormat="1" ht="14.25" hidden="1" customHeight="1">
      <c r="M24" s="1418"/>
      <c r="N24" s="1418"/>
      <c r="O24" s="1419" t="s">
        <v>407</v>
      </c>
      <c r="P24" s="1418"/>
      <c r="Q24" s="1420"/>
      <c r="R24" s="1420"/>
      <c r="AA24" s="1417" t="s">
        <v>409</v>
      </c>
      <c r="AC24" s="1417" t="s">
        <v>410</v>
      </c>
      <c r="AD24" s="1417" t="s">
        <v>456</v>
      </c>
      <c r="AH24" s="1417" t="s">
        <v>456</v>
      </c>
      <c r="AK24" s="1417" t="s">
        <v>496</v>
      </c>
      <c r="AL24" s="1417" t="s">
        <v>456</v>
      </c>
      <c r="AP24" s="1417" t="s">
        <v>456</v>
      </c>
      <c r="AY24" s="1417" t="s">
        <v>409</v>
      </c>
      <c r="BA24" s="1417" t="s">
        <v>410</v>
      </c>
      <c r="BD24" s="1421"/>
      <c r="BE24" s="1421"/>
      <c r="BF24" s="1421"/>
      <c r="BG24" s="1421"/>
      <c r="BH24" s="1421"/>
    </row>
    <row r="25" spans="1:60" ht="14.25" hidden="1" customHeight="1">
      <c r="O25" s="1280"/>
      <c r="BD25" s="422"/>
      <c r="BE25" s="422"/>
      <c r="BF25" s="422"/>
      <c r="BG25" s="422"/>
      <c r="BH25" s="422"/>
    </row>
    <row r="26" spans="1:60" ht="14.25" hidden="1" customHeight="1">
      <c r="O26" s="1280"/>
      <c r="BD26" s="422"/>
      <c r="BE26" s="422"/>
      <c r="BF26" s="422"/>
      <c r="BG26" s="422"/>
      <c r="BH26" s="422"/>
    </row>
    <row r="27" spans="1:60" ht="14.25" customHeight="1">
      <c r="Q27" s="209"/>
      <c r="R27" s="305"/>
      <c r="S27" s="1195"/>
      <c r="T27" s="290"/>
      <c r="U27" s="290"/>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row>
    <row r="28" spans="1:60" ht="14.25" customHeight="1">
      <c r="Q28" s="209"/>
      <c r="R28" s="305"/>
      <c r="S28" s="2254"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152"/>
    </row>
    <row r="29" spans="1:60" ht="14.25" customHeight="1">
      <c r="Q29" s="209"/>
      <c r="R29" s="305"/>
      <c r="S29" s="2200" t="str">
        <f>IF(org=0,"Не определено",org)</f>
        <v>ПАО "Юнипро"</v>
      </c>
      <c r="T29" s="2200"/>
      <c r="U29" s="2200"/>
      <c r="V29" s="2200"/>
      <c r="W29" s="2200"/>
      <c r="X29" s="2200"/>
      <c r="Y29" s="2200"/>
      <c r="Z29" s="2200"/>
      <c r="AA29" s="2200"/>
      <c r="AB29" s="2200"/>
      <c r="AC29" s="2200"/>
      <c r="AD29" s="2200"/>
      <c r="AE29" s="2200"/>
      <c r="AF29" s="2200"/>
      <c r="AG29" s="2200"/>
      <c r="AH29" s="2200"/>
      <c r="AI29" s="2200"/>
      <c r="AJ29" s="2200"/>
      <c r="AK29" s="2200"/>
      <c r="AL29" s="2200"/>
      <c r="AM29" s="2200"/>
      <c r="AN29" s="2200"/>
      <c r="AO29" s="2200"/>
      <c r="AP29" s="2200"/>
      <c r="AQ29" s="2200"/>
      <c r="AR29" s="2200"/>
      <c r="AS29" s="2200"/>
      <c r="AT29" s="2200"/>
      <c r="AU29" s="2200"/>
      <c r="AV29" s="2200"/>
      <c r="AW29" s="2200"/>
      <c r="AX29" s="2200"/>
      <c r="AY29" s="2200"/>
      <c r="AZ29" s="2200"/>
      <c r="BA29" s="1152"/>
    </row>
    <row r="30" spans="1:60" ht="14.25" customHeight="1">
      <c r="Q30" s="209"/>
      <c r="R30" s="305"/>
      <c r="S30" s="1195"/>
      <c r="T30" s="290"/>
      <c r="U30" s="290"/>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435"/>
    </row>
    <row r="31" spans="1:60" s="1936" customFormat="1" ht="25.5" customHeight="1">
      <c r="A31" s="1284"/>
      <c r="B31" s="1284"/>
      <c r="C31" s="1284"/>
      <c r="D31" s="1284"/>
      <c r="E31" s="1284"/>
      <c r="F31" s="1284"/>
      <c r="G31" s="1284"/>
      <c r="H31" s="1284"/>
      <c r="I31" s="1284"/>
      <c r="J31" s="1284"/>
      <c r="K31" s="1284"/>
      <c r="L31" s="1285"/>
      <c r="M31" s="1284"/>
      <c r="N31" s="1284"/>
      <c r="O31" s="1284"/>
      <c r="P31" s="1284"/>
      <c r="Q31" s="1284"/>
      <c r="S31" s="2262" t="s">
        <v>38</v>
      </c>
      <c r="T31" s="2262"/>
      <c r="U31" s="1288"/>
      <c r="V31" s="2263" t="str">
        <f>IF(TITLE_NAME_OR_PR_CHANGE="",IF(TITLE_NAME_OR_PR="","",TITLE_NAME_OR_PR),TITLE_NAME_OR_PR_CHANGE)</f>
        <v>Министерство тарифной политики Красноярского края</v>
      </c>
      <c r="W31" s="2263"/>
      <c r="X31" s="2263"/>
      <c r="Y31" s="2263"/>
      <c r="Z31" s="2263"/>
      <c r="AA31" s="2263"/>
      <c r="AB31" s="2263"/>
      <c r="AC31" s="252"/>
      <c r="AD31" s="2263" t="str">
        <f>IF(TITLE_NAME_OR_PR_CHANGE="",IF(TITLE_NAME_OR_PR="","",TITLE_NAME_OR_PR),TITLE_NAME_OR_PR_CHANGE)</f>
        <v>Министерство тарифной политики Красноярского края</v>
      </c>
      <c r="AE31" s="2263"/>
      <c r="AF31" s="2263"/>
      <c r="AG31" s="2263"/>
      <c r="AH31" s="2263"/>
      <c r="AI31" s="2263"/>
      <c r="AJ31" s="2263"/>
      <c r="AK31" s="2263"/>
      <c r="AL31" s="2263"/>
      <c r="AM31" s="2263"/>
      <c r="AN31" s="2263"/>
      <c r="AO31" s="2263"/>
      <c r="AP31" s="2263"/>
      <c r="AQ31" s="2263"/>
      <c r="AR31" s="2263"/>
      <c r="AS31" s="2263"/>
      <c r="AT31" s="2263"/>
      <c r="AU31" s="2263"/>
      <c r="AV31" s="2263"/>
      <c r="AW31" s="2263"/>
      <c r="AX31" s="2263"/>
      <c r="AY31" s="2263"/>
      <c r="AZ31" s="2263"/>
      <c r="BA31" s="252"/>
      <c r="BB31" s="252"/>
      <c r="BC31" s="199"/>
      <c r="BD31" s="296"/>
      <c r="BE31" s="296"/>
      <c r="BF31" s="296"/>
      <c r="BG31" s="296"/>
      <c r="BH31" s="296"/>
    </row>
    <row r="32" spans="1:60" s="1936" customFormat="1" ht="18.75" customHeight="1">
      <c r="A32" s="1284"/>
      <c r="B32" s="1284"/>
      <c r="C32" s="1284"/>
      <c r="D32" s="1284"/>
      <c r="E32" s="1284"/>
      <c r="F32" s="1284"/>
      <c r="G32" s="1284"/>
      <c r="H32" s="1284"/>
      <c r="I32" s="1284"/>
      <c r="J32" s="1284"/>
      <c r="K32" s="1284"/>
      <c r="L32" s="1285"/>
      <c r="M32" s="1284"/>
      <c r="N32" s="1284"/>
      <c r="O32" s="1284"/>
      <c r="P32" s="1284"/>
      <c r="Q32" s="1284"/>
      <c r="S32" s="2262" t="s">
        <v>412</v>
      </c>
      <c r="T32" s="2262"/>
      <c r="U32" s="1288"/>
      <c r="V32" s="2272">
        <f>IF(TITLE_DATE_PR_CHANGE="",IF(TITLE_DATE_PR="","",TITLE_DATE_PR),TITLE_DATE_PR_CHANGE)</f>
        <v>45278.357847222222</v>
      </c>
      <c r="W32" s="2272"/>
      <c r="X32" s="2272"/>
      <c r="Y32" s="2272"/>
      <c r="Z32" s="2272"/>
      <c r="AA32" s="2272"/>
      <c r="AB32" s="2272"/>
      <c r="AC32" s="252"/>
      <c r="AD32" s="2272">
        <f>IF(TITLE_DATE_PR_CHANGE="",IF(TITLE_DATE_PR="","",TITLE_DATE_PR),TITLE_DATE_PR_CHANGE)</f>
        <v>45278.357847222222</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252"/>
      <c r="BB32" s="252"/>
      <c r="BC32" s="199"/>
      <c r="BD32" s="296"/>
      <c r="BE32" s="296"/>
      <c r="BF32" s="296"/>
      <c r="BG32" s="296"/>
      <c r="BH32" s="296"/>
    </row>
    <row r="33" spans="1:60" s="1936" customFormat="1" ht="18.75" customHeight="1">
      <c r="A33" s="1284"/>
      <c r="B33" s="1284"/>
      <c r="C33" s="1284"/>
      <c r="D33" s="1284"/>
      <c r="E33" s="1284"/>
      <c r="F33" s="1284"/>
      <c r="G33" s="1284"/>
      <c r="H33" s="1284"/>
      <c r="I33" s="1284"/>
      <c r="J33" s="1284"/>
      <c r="K33" s="1284"/>
      <c r="L33" s="1285"/>
      <c r="M33" s="1284"/>
      <c r="N33" s="1284"/>
      <c r="O33" s="1284"/>
      <c r="P33" s="1284"/>
      <c r="Q33" s="1284"/>
      <c r="S33" s="2262" t="s">
        <v>413</v>
      </c>
      <c r="T33" s="2262"/>
      <c r="U33" s="1288"/>
      <c r="V33" s="2263" t="str">
        <f>IF(TITLE_NUMBER_PR_CHANGE="",IF(TITLE_NUMBER_PR="","",TITLE_NUMBER_PR),TITLE_NUMBER_PR_CHANGE)</f>
        <v>924-в</v>
      </c>
      <c r="W33" s="2263"/>
      <c r="X33" s="2263"/>
      <c r="Y33" s="2263"/>
      <c r="Z33" s="2263"/>
      <c r="AA33" s="2263"/>
      <c r="AB33" s="2263"/>
      <c r="AC33" s="252"/>
      <c r="AD33" s="2263" t="str">
        <f>IF(TITLE_NUMBER_PR_CHANGE="",IF(TITLE_NUMBER_PR="","",TITLE_NUMBER_PR),TITLE_NUMBER_PR_CHANGE)</f>
        <v>924-в</v>
      </c>
      <c r="AE33" s="2263"/>
      <c r="AF33" s="2263"/>
      <c r="AG33" s="2263"/>
      <c r="AH33" s="2263"/>
      <c r="AI33" s="2263"/>
      <c r="AJ33" s="2263"/>
      <c r="AK33" s="2263"/>
      <c r="AL33" s="2263"/>
      <c r="AM33" s="2263"/>
      <c r="AN33" s="2263"/>
      <c r="AO33" s="2263"/>
      <c r="AP33" s="2263"/>
      <c r="AQ33" s="2263"/>
      <c r="AR33" s="2263"/>
      <c r="AS33" s="2263"/>
      <c r="AT33" s="2263"/>
      <c r="AU33" s="2263"/>
      <c r="AV33" s="2263"/>
      <c r="AW33" s="2263"/>
      <c r="AX33" s="2263"/>
      <c r="AY33" s="2263"/>
      <c r="AZ33" s="2263"/>
      <c r="BA33" s="252"/>
      <c r="BB33" s="252"/>
      <c r="BC33" s="199"/>
      <c r="BD33" s="296"/>
      <c r="BE33" s="296"/>
      <c r="BF33" s="296"/>
      <c r="BG33" s="296"/>
      <c r="BH33" s="296"/>
    </row>
    <row r="34" spans="1:60" s="1936" customFormat="1" ht="18.75" customHeight="1">
      <c r="A34" s="1284"/>
      <c r="B34" s="1284"/>
      <c r="C34" s="1284"/>
      <c r="D34" s="1284"/>
      <c r="E34" s="1284"/>
      <c r="F34" s="1284"/>
      <c r="G34" s="1284"/>
      <c r="H34" s="1284"/>
      <c r="I34" s="1284"/>
      <c r="J34" s="1284"/>
      <c r="K34" s="1284"/>
      <c r="L34" s="1285"/>
      <c r="M34" s="1284"/>
      <c r="N34" s="1284"/>
      <c r="O34" s="1284"/>
      <c r="P34" s="1284"/>
      <c r="Q34" s="1284"/>
      <c r="S34" s="2262" t="s">
        <v>40</v>
      </c>
      <c r="T34" s="2262"/>
      <c r="U34" s="1288"/>
      <c r="V34" s="2263" t="str">
        <f>IF(TITLE_IST_PUB_CHANGE="",IF(TITLE_IST_PUB="","",TITLE_IST_PUB),TITLE_IST_PUB_CHANGE)</f>
        <v>Официальный интернет-портал правовой информации Красноярского края (http://www.zakon.krskstate.ru/)</v>
      </c>
      <c r="W34" s="2263"/>
      <c r="X34" s="2263"/>
      <c r="Y34" s="2263"/>
      <c r="Z34" s="2263"/>
      <c r="AA34" s="2263"/>
      <c r="AB34" s="2263"/>
      <c r="AC34" s="252"/>
      <c r="AD34" s="2263" t="str">
        <f>IF(TITLE_IST_PUB_CHANGE="",IF(TITLE_IST_PUB="","",TITLE_IST_PUB),TITLE_IST_PUB_CHANGE)</f>
        <v>Официальный интернет-портал правовой информации Красноярского края (http://www.zakon.krskstate.ru/)</v>
      </c>
      <c r="AE34" s="2263"/>
      <c r="AF34" s="2263"/>
      <c r="AG34" s="2263"/>
      <c r="AH34" s="2263"/>
      <c r="AI34" s="2263"/>
      <c r="AJ34" s="2263"/>
      <c r="AK34" s="2263"/>
      <c r="AL34" s="2263"/>
      <c r="AM34" s="2263"/>
      <c r="AN34" s="2263"/>
      <c r="AO34" s="2263"/>
      <c r="AP34" s="2263"/>
      <c r="AQ34" s="2263"/>
      <c r="AR34" s="2263"/>
      <c r="AS34" s="2263"/>
      <c r="AT34" s="2263"/>
      <c r="AU34" s="2263"/>
      <c r="AV34" s="2263"/>
      <c r="AW34" s="2263"/>
      <c r="AX34" s="2263"/>
      <c r="AY34" s="2263"/>
      <c r="AZ34" s="2263"/>
      <c r="BA34" s="252"/>
      <c r="BB34" s="252"/>
      <c r="BC34" s="199"/>
      <c r="BD34" s="296"/>
      <c r="BE34" s="296"/>
      <c r="BF34" s="296"/>
      <c r="BG34" s="296"/>
      <c r="BH34" s="296"/>
    </row>
    <row r="35" spans="1:60" ht="14.25" hidden="1" customHeight="1">
      <c r="Q35" s="209"/>
      <c r="R35" s="305"/>
      <c r="S35" s="1195"/>
      <c r="T35" s="290"/>
      <c r="U35" s="290"/>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435"/>
    </row>
    <row r="36" spans="1:60" s="1936" customFormat="1" ht="18.75" hidden="1" customHeight="1">
      <c r="A36" s="1284"/>
      <c r="B36" s="1284"/>
      <c r="C36" s="1284"/>
      <c r="D36" s="1284"/>
      <c r="E36" s="1284"/>
      <c r="F36" s="1284"/>
      <c r="G36" s="1284"/>
      <c r="H36" s="1284"/>
      <c r="I36" s="1284"/>
      <c r="J36" s="1284"/>
      <c r="K36" s="1284"/>
      <c r="L36" s="1285"/>
      <c r="M36" s="1284"/>
      <c r="N36" s="1284"/>
      <c r="O36" s="1284"/>
      <c r="P36" s="1284"/>
      <c r="Q36" s="1284"/>
      <c r="S36" s="2262" t="s">
        <v>412</v>
      </c>
      <c r="T36" s="2262"/>
      <c r="U36" s="1288"/>
      <c r="V36" s="2272">
        <f>IF(TITLE_DATE_PR_CHANGE="",IF(TITLE_DATE_PR="","",TITLE_DATE_PR),TITLE_DATE_PR_CHANGE)</f>
        <v>45278.357847222222</v>
      </c>
      <c r="W36" s="2272"/>
      <c r="X36" s="2272"/>
      <c r="Y36" s="2272"/>
      <c r="Z36" s="2272"/>
      <c r="AA36" s="2272"/>
      <c r="AB36" s="2272"/>
      <c r="AC36" s="252"/>
      <c r="AD36" s="2272">
        <f>IF(TITLE_DATE_PR_CHANGE="",IF(TITLE_DATE_PR="","",TITLE_DATE_PR),TITLE_DATE_PR_CHANGE)</f>
        <v>45278.357847222222</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252"/>
      <c r="BB36" s="252"/>
      <c r="BC36" s="199"/>
      <c r="BD36" s="296"/>
      <c r="BE36" s="296"/>
      <c r="BF36" s="296"/>
      <c r="BG36" s="296"/>
      <c r="BH36" s="296"/>
    </row>
    <row r="37" spans="1:60" s="1936" customFormat="1" ht="18.75" hidden="1" customHeight="1">
      <c r="A37" s="1284"/>
      <c r="B37" s="1284"/>
      <c r="C37" s="1284"/>
      <c r="D37" s="1284"/>
      <c r="E37" s="1284"/>
      <c r="F37" s="1284"/>
      <c r="G37" s="1284"/>
      <c r="H37" s="1284"/>
      <c r="I37" s="1284"/>
      <c r="J37" s="1284"/>
      <c r="K37" s="1284"/>
      <c r="L37" s="1285"/>
      <c r="M37" s="1284"/>
      <c r="N37" s="1284"/>
      <c r="O37" s="1284"/>
      <c r="P37" s="1284"/>
      <c r="Q37" s="1284"/>
      <c r="S37" s="2262" t="s">
        <v>413</v>
      </c>
      <c r="T37" s="2262"/>
      <c r="U37" s="1288"/>
      <c r="V37" s="2263" t="str">
        <f>IF(TITLE_NUMBER_PR_CHANGE="",IF(TITLE_NUMBER_PR="","",TITLE_NUMBER_PR),TITLE_NUMBER_PR_CHANGE)</f>
        <v>924-в</v>
      </c>
      <c r="W37" s="2263"/>
      <c r="X37" s="2263"/>
      <c r="Y37" s="2263"/>
      <c r="Z37" s="2263"/>
      <c r="AA37" s="2263"/>
      <c r="AB37" s="2263"/>
      <c r="AC37" s="252"/>
      <c r="AD37" s="2263" t="str">
        <f>IF(TITLE_NUMBER_PR_CHANGE="",IF(TITLE_NUMBER_PR="","",TITLE_NUMBER_PR),TITLE_NUMBER_PR_CHANGE)</f>
        <v>924-в</v>
      </c>
      <c r="AE37" s="2263"/>
      <c r="AF37" s="2263"/>
      <c r="AG37" s="2263"/>
      <c r="AH37" s="2263"/>
      <c r="AI37" s="2263"/>
      <c r="AJ37" s="2263"/>
      <c r="AK37" s="2263"/>
      <c r="AL37" s="2263"/>
      <c r="AM37" s="2263"/>
      <c r="AN37" s="2263"/>
      <c r="AO37" s="2263"/>
      <c r="AP37" s="2263"/>
      <c r="AQ37" s="2263"/>
      <c r="AR37" s="2263"/>
      <c r="AS37" s="2263"/>
      <c r="AT37" s="2263"/>
      <c r="AU37" s="2263"/>
      <c r="AV37" s="2263"/>
      <c r="AW37" s="2263"/>
      <c r="AX37" s="2263"/>
      <c r="AY37" s="2263"/>
      <c r="AZ37" s="2263"/>
      <c r="BA37" s="252"/>
      <c r="BB37" s="252"/>
      <c r="BC37" s="199"/>
      <c r="BD37" s="296"/>
      <c r="BE37" s="296"/>
      <c r="BF37" s="296"/>
      <c r="BG37" s="296"/>
      <c r="BH37" s="296"/>
    </row>
    <row r="38" spans="1:60" s="1936" customFormat="1" ht="0" hidden="1" customHeight="1">
      <c r="A38" s="1284"/>
      <c r="B38" s="1284"/>
      <c r="C38" s="1284"/>
      <c r="D38" s="1284"/>
      <c r="E38" s="1284"/>
      <c r="F38" s="1284"/>
      <c r="G38" s="1284"/>
      <c r="H38" s="1284"/>
      <c r="I38" s="1284"/>
      <c r="J38" s="1284"/>
      <c r="K38" s="1284"/>
      <c r="L38" s="1285"/>
      <c r="M38" s="1284"/>
      <c r="N38" s="1284"/>
      <c r="O38" s="1284"/>
      <c r="P38" s="1284"/>
      <c r="Q38" s="1284"/>
      <c r="S38" s="248"/>
      <c r="T38" s="248"/>
      <c r="U38" s="1398"/>
      <c r="V38" s="252"/>
      <c r="W38" s="252"/>
      <c r="X38" s="252"/>
      <c r="Y38" s="252"/>
      <c r="Z38" s="252"/>
      <c r="AA38" s="252"/>
      <c r="AB38" s="252"/>
      <c r="AC38" s="197" t="s">
        <v>416</v>
      </c>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197" t="s">
        <v>416</v>
      </c>
      <c r="BD38" s="296"/>
      <c r="BE38" s="296"/>
      <c r="BF38" s="296"/>
      <c r="BG38" s="296"/>
      <c r="BH38" s="296"/>
    </row>
    <row r="39" spans="1:60" ht="14.25" customHeight="1">
      <c r="Q39" s="209"/>
      <c r="R39" s="305"/>
      <c r="S39" s="1195"/>
      <c r="T39" s="290"/>
      <c r="U39" s="1153"/>
      <c r="V39" s="2264"/>
      <c r="W39" s="2264"/>
      <c r="X39" s="2264"/>
      <c r="Y39" s="2264"/>
      <c r="Z39" s="2264"/>
      <c r="AA39" s="2264"/>
      <c r="AB39" s="2264"/>
      <c r="AC39" s="2264"/>
      <c r="AD39" s="2264"/>
      <c r="AE39" s="2264"/>
      <c r="AF39" s="2264"/>
      <c r="AG39" s="2264"/>
      <c r="AH39" s="2264"/>
      <c r="AI39" s="2264"/>
      <c r="AJ39" s="2264"/>
      <c r="AK39" s="2264"/>
      <c r="AL39" s="2264"/>
      <c r="AM39" s="2264"/>
      <c r="AN39" s="2264"/>
      <c r="AO39" s="2264"/>
      <c r="AP39" s="2264"/>
      <c r="AQ39" s="2264"/>
      <c r="AR39" s="2264"/>
      <c r="AS39" s="2264"/>
      <c r="AT39" s="2264"/>
      <c r="AU39" s="2264"/>
      <c r="AV39" s="2264"/>
      <c r="AW39" s="2264"/>
      <c r="AX39" s="2264"/>
      <c r="AY39" s="2264"/>
      <c r="AZ39" s="2264"/>
      <c r="BA39" s="2264"/>
    </row>
    <row r="40" spans="1:60" ht="14.25" customHeight="1">
      <c r="Q40" s="209"/>
      <c r="R40" s="305"/>
      <c r="S40" s="2143" t="s">
        <v>289</v>
      </c>
      <c r="T40" s="2143"/>
      <c r="U40" s="2143"/>
      <c r="V40" s="2143"/>
      <c r="W40" s="2143"/>
      <c r="X40" s="2143"/>
      <c r="Y40" s="2143"/>
      <c r="Z40" s="2143"/>
      <c r="AA40" s="2143"/>
      <c r="AB40" s="2143"/>
      <c r="AC40" s="2143"/>
      <c r="AD40" s="2143"/>
      <c r="AE40" s="2143"/>
      <c r="AF40" s="2143"/>
      <c r="AG40" s="2143"/>
      <c r="AH40" s="2143"/>
      <c r="AI40" s="2143"/>
      <c r="AJ40" s="2143"/>
      <c r="AK40" s="2143"/>
      <c r="AL40" s="2143"/>
      <c r="AM40" s="2143"/>
      <c r="AN40" s="2143"/>
      <c r="AO40" s="2143"/>
      <c r="AP40" s="2143"/>
      <c r="AQ40" s="2143"/>
      <c r="AR40" s="2143"/>
      <c r="AS40" s="2143"/>
      <c r="AT40" s="2143"/>
      <c r="AU40" s="2143"/>
      <c r="AV40" s="2143"/>
      <c r="AW40" s="2143"/>
      <c r="AX40" s="2143"/>
      <c r="AY40" s="2143"/>
      <c r="AZ40" s="2143"/>
      <c r="BA40" s="2143"/>
      <c r="BB40" s="2143"/>
      <c r="BC40" s="2143" t="s">
        <v>290</v>
      </c>
    </row>
    <row r="41" spans="1:60" ht="14.25" customHeight="1">
      <c r="Q41" s="209"/>
      <c r="R41" s="305"/>
      <c r="S41" s="2278" t="s">
        <v>87</v>
      </c>
      <c r="T41" s="2229" t="s">
        <v>497</v>
      </c>
      <c r="U41" s="219"/>
      <c r="V41" s="2279" t="s">
        <v>418</v>
      </c>
      <c r="W41" s="2280"/>
      <c r="X41" s="2280"/>
      <c r="Y41" s="2280"/>
      <c r="Z41" s="2280"/>
      <c r="AA41" s="2280"/>
      <c r="AB41" s="2281"/>
      <c r="AC41" s="2282" t="s">
        <v>419</v>
      </c>
      <c r="AD41" s="2308" t="s">
        <v>514</v>
      </c>
      <c r="AE41" s="2294"/>
      <c r="AF41" s="2294"/>
      <c r="AG41" s="2309"/>
      <c r="AH41" s="2308" t="s">
        <v>515</v>
      </c>
      <c r="AI41" s="2294"/>
      <c r="AJ41" s="2294"/>
      <c r="AK41" s="2309"/>
      <c r="AL41" s="2308" t="s">
        <v>516</v>
      </c>
      <c r="AM41" s="2294"/>
      <c r="AN41" s="2294"/>
      <c r="AO41" s="2309"/>
      <c r="AP41" s="2308" t="s">
        <v>501</v>
      </c>
      <c r="AQ41" s="2294"/>
      <c r="AR41" s="2294"/>
      <c r="AS41" s="2309"/>
      <c r="AT41" s="2279" t="s">
        <v>418</v>
      </c>
      <c r="AU41" s="2280"/>
      <c r="AV41" s="2280"/>
      <c r="AW41" s="2280"/>
      <c r="AX41" s="2280"/>
      <c r="AY41" s="2280"/>
      <c r="AZ41" s="2281"/>
      <c r="BA41" s="2282" t="s">
        <v>419</v>
      </c>
      <c r="BB41" s="2285" t="s">
        <v>421</v>
      </c>
      <c r="BC41" s="2143"/>
    </row>
    <row r="42" spans="1:60" ht="33.75" customHeight="1">
      <c r="Q42" s="209"/>
      <c r="R42" s="305"/>
      <c r="S42" s="2278"/>
      <c r="T42" s="2229"/>
      <c r="U42" s="938"/>
      <c r="V42" s="2214" t="s">
        <v>502</v>
      </c>
      <c r="W42" s="2215"/>
      <c r="X42" s="2214" t="s">
        <v>503</v>
      </c>
      <c r="Y42" s="2215"/>
      <c r="Z42" s="2214" t="s">
        <v>504</v>
      </c>
      <c r="AA42" s="2303"/>
      <c r="AB42" s="2215"/>
      <c r="AC42" s="2283"/>
      <c r="AD42" s="2310"/>
      <c r="AE42" s="2311"/>
      <c r="AF42" s="2311"/>
      <c r="AG42" s="2312"/>
      <c r="AH42" s="2310"/>
      <c r="AI42" s="2311"/>
      <c r="AJ42" s="2311"/>
      <c r="AK42" s="2312"/>
      <c r="AL42" s="2310"/>
      <c r="AM42" s="2311"/>
      <c r="AN42" s="2311"/>
      <c r="AO42" s="2312"/>
      <c r="AP42" s="2310"/>
      <c r="AQ42" s="2311"/>
      <c r="AR42" s="2311"/>
      <c r="AS42" s="2312"/>
      <c r="AT42" s="2214" t="s">
        <v>517</v>
      </c>
      <c r="AU42" s="2215"/>
      <c r="AV42" s="2214" t="s">
        <v>518</v>
      </c>
      <c r="AW42" s="2215"/>
      <c r="AX42" s="2214" t="s">
        <v>504</v>
      </c>
      <c r="AY42" s="2303"/>
      <c r="AZ42" s="2215"/>
      <c r="BA42" s="2283"/>
      <c r="BB42" s="2286"/>
      <c r="BC42" s="2143"/>
    </row>
    <row r="43" spans="1:60" ht="14.25" customHeight="1">
      <c r="Q43" s="209"/>
      <c r="R43" s="305"/>
      <c r="S43" s="2278"/>
      <c r="T43" s="2229"/>
      <c r="U43" s="938"/>
      <c r="V43" s="2219"/>
      <c r="W43" s="2220"/>
      <c r="X43" s="2219"/>
      <c r="Y43" s="2220"/>
      <c r="Z43" s="2219"/>
      <c r="AA43" s="2304"/>
      <c r="AB43" s="2220"/>
      <c r="AC43" s="2283"/>
      <c r="AD43" s="2310"/>
      <c r="AE43" s="2311"/>
      <c r="AF43" s="2311"/>
      <c r="AG43" s="2312"/>
      <c r="AH43" s="2310"/>
      <c r="AI43" s="2311"/>
      <c r="AJ43" s="2311"/>
      <c r="AK43" s="2312"/>
      <c r="AL43" s="2310"/>
      <c r="AM43" s="2311"/>
      <c r="AN43" s="2311"/>
      <c r="AO43" s="2312"/>
      <c r="AP43" s="2310"/>
      <c r="AQ43" s="2311"/>
      <c r="AR43" s="2311"/>
      <c r="AS43" s="2312"/>
      <c r="AT43" s="2219"/>
      <c r="AU43" s="2220"/>
      <c r="AV43" s="2219"/>
      <c r="AW43" s="2220"/>
      <c r="AX43" s="2219"/>
      <c r="AY43" s="2304"/>
      <c r="AZ43" s="2220"/>
      <c r="BA43" s="2283"/>
      <c r="BB43" s="2286"/>
      <c r="BC43" s="2143"/>
    </row>
    <row r="44" spans="1:60" ht="14.25" customHeight="1">
      <c r="A44" s="1286"/>
      <c r="B44" s="1286" t="s">
        <v>134</v>
      </c>
      <c r="C44" s="1286" t="s">
        <v>135</v>
      </c>
      <c r="D44" s="1286" t="s">
        <v>136</v>
      </c>
      <c r="E44" s="1280" t="s">
        <v>426</v>
      </c>
      <c r="F44" s="1280" t="s">
        <v>427</v>
      </c>
      <c r="G44" s="1280" t="s">
        <v>428</v>
      </c>
      <c r="H44" s="1280" t="s">
        <v>429</v>
      </c>
      <c r="I44" s="1280" t="s">
        <v>430</v>
      </c>
      <c r="J44" s="1280" t="s">
        <v>431</v>
      </c>
      <c r="K44" s="1280" t="s">
        <v>432</v>
      </c>
      <c r="L44" s="1280" t="s">
        <v>407</v>
      </c>
      <c r="Q44" s="209"/>
      <c r="R44" s="305"/>
      <c r="S44" s="2278"/>
      <c r="T44" s="2229"/>
      <c r="U44" s="220"/>
      <c r="V44" s="1389" t="s">
        <v>466</v>
      </c>
      <c r="W44" s="1389" t="s">
        <v>467</v>
      </c>
      <c r="X44" s="1389" t="s">
        <v>466</v>
      </c>
      <c r="Y44" s="1389" t="s">
        <v>467</v>
      </c>
      <c r="Z44" s="1399" t="s">
        <v>435</v>
      </c>
      <c r="AA44" s="2238" t="s">
        <v>436</v>
      </c>
      <c r="AB44" s="2240"/>
      <c r="AC44" s="2284"/>
      <c r="AD44" s="2313"/>
      <c r="AE44" s="2314"/>
      <c r="AF44" s="2314"/>
      <c r="AG44" s="2315"/>
      <c r="AH44" s="2313"/>
      <c r="AI44" s="2314"/>
      <c r="AJ44" s="2314"/>
      <c r="AK44" s="2315"/>
      <c r="AL44" s="2313"/>
      <c r="AM44" s="2314"/>
      <c r="AN44" s="2314"/>
      <c r="AO44" s="2315"/>
      <c r="AP44" s="2313"/>
      <c r="AQ44" s="2314"/>
      <c r="AR44" s="2314"/>
      <c r="AS44" s="2315"/>
      <c r="AT44" s="1389" t="s">
        <v>466</v>
      </c>
      <c r="AU44" s="1389" t="s">
        <v>467</v>
      </c>
      <c r="AV44" s="1389" t="s">
        <v>466</v>
      </c>
      <c r="AW44" s="1389" t="s">
        <v>467</v>
      </c>
      <c r="AX44" s="1399" t="s">
        <v>435</v>
      </c>
      <c r="AY44" s="2238" t="s">
        <v>436</v>
      </c>
      <c r="AZ44" s="2240"/>
      <c r="BA44" s="2284"/>
      <c r="BB44" s="2287"/>
      <c r="BC44" s="2143"/>
    </row>
    <row r="45" spans="1:60" s="1819" customFormat="1" ht="11.25" hidden="1" customHeight="1">
      <c r="A45" s="1286"/>
      <c r="B45" s="1286"/>
      <c r="C45" s="1286"/>
      <c r="D45" s="1286"/>
      <c r="E45" s="1286"/>
      <c r="F45" s="1286"/>
      <c r="G45" s="1286"/>
      <c r="H45" s="1286"/>
      <c r="I45" s="1286"/>
      <c r="J45" s="1286"/>
      <c r="K45" s="1286"/>
      <c r="L45" s="1280"/>
      <c r="M45" s="1278"/>
      <c r="N45" s="1278"/>
      <c r="O45" s="1278"/>
      <c r="P45" s="436"/>
      <c r="Q45" s="1171"/>
      <c r="R45" s="1171">
        <v>1</v>
      </c>
      <c r="S45" s="1197" t="s">
        <v>108</v>
      </c>
      <c r="T45" s="1172" t="s">
        <v>109</v>
      </c>
      <c r="U45" s="1154" t="str">
        <f ca="1">OFFSET(U45,0,-1)</f>
        <v>2</v>
      </c>
      <c r="V45" s="1392">
        <f t="shared" ref="V45:AA45" ca="1" si="2">OFFSET(V45,0,-1)+1</f>
        <v>3</v>
      </c>
      <c r="W45" s="1392">
        <f t="shared" ca="1" si="2"/>
        <v>4</v>
      </c>
      <c r="X45" s="1392">
        <f t="shared" ca="1" si="2"/>
        <v>5</v>
      </c>
      <c r="Y45" s="1392">
        <f t="shared" ca="1" si="2"/>
        <v>6</v>
      </c>
      <c r="Z45" s="1392">
        <f t="shared" ca="1" si="2"/>
        <v>7</v>
      </c>
      <c r="AA45" s="2277">
        <f t="shared" ca="1" si="2"/>
        <v>8</v>
      </c>
      <c r="AB45" s="2277"/>
      <c r="AC45" s="1392">
        <f ca="1">OFFSET(AC45,0,-2)+1</f>
        <v>9</v>
      </c>
      <c r="AD45" s="1392">
        <f ca="1">OFFSET(AD45,0,-1)+1</f>
        <v>10</v>
      </c>
      <c r="AE45" s="1392"/>
      <c r="AF45" s="1392"/>
      <c r="AG45" s="1392"/>
      <c r="AH45" s="1392"/>
      <c r="AI45" s="1392"/>
      <c r="AJ45" s="1392"/>
      <c r="AK45" s="1392"/>
      <c r="AL45" s="1392"/>
      <c r="AM45" s="1392"/>
      <c r="AN45" s="1392"/>
      <c r="AO45" s="1392"/>
      <c r="AP45" s="1392"/>
      <c r="AQ45" s="1392"/>
      <c r="AR45" s="1392"/>
      <c r="AS45" s="1392"/>
      <c r="AT45" s="1392"/>
      <c r="AU45" s="1392"/>
      <c r="AV45" s="1392"/>
      <c r="AW45" s="1392">
        <f ca="1">OFFSET(AW45,0,-1)+1</f>
        <v>1</v>
      </c>
      <c r="AX45" s="1392">
        <f ca="1">OFFSET(AX45,0,-1)+1</f>
        <v>2</v>
      </c>
      <c r="AY45" s="2277">
        <f ca="1">OFFSET(AY45,0,-1)+1</f>
        <v>3</v>
      </c>
      <c r="AZ45" s="2277"/>
      <c r="BA45" s="1392">
        <f ca="1">OFFSET(BA45,0,-2)+1</f>
        <v>4</v>
      </c>
      <c r="BB45" s="1154">
        <f ca="1">OFFSET(BB45,0,-1)</f>
        <v>4</v>
      </c>
      <c r="BC45" s="1392">
        <f ca="1">OFFSET(BC45,0,-1)+1</f>
        <v>5</v>
      </c>
      <c r="BD45" s="437"/>
      <c r="BE45" s="437"/>
      <c r="BF45" s="437"/>
      <c r="BG45" s="437"/>
      <c r="BH45" s="437"/>
    </row>
    <row r="46" spans="1:60" ht="21" customHeight="1">
      <c r="A46" s="1279" t="s">
        <v>265</v>
      </c>
      <c r="B46" s="1279"/>
      <c r="C46" s="1279"/>
      <c r="D46" s="1279"/>
      <c r="E46" s="2270">
        <v>1</v>
      </c>
      <c r="F46" s="1279"/>
      <c r="G46" s="1279"/>
      <c r="H46" s="1279"/>
      <c r="I46" s="1279"/>
      <c r="J46" s="1279"/>
      <c r="K46" s="1279"/>
      <c r="L46" s="1280"/>
      <c r="M46" s="1281"/>
      <c r="N46" s="1281"/>
      <c r="O46" s="1281"/>
      <c r="P46" s="1325"/>
      <c r="Q46" s="786"/>
      <c r="R46" s="280"/>
      <c r="S46" s="1403">
        <f>INDEX(PT_DIFFERENTIATION_NUM_NTAR,MATCH(A46,PT_DIFFERENTIATION_NTAR_ID,0))</f>
        <v>0</v>
      </c>
      <c r="T46" s="216" t="s">
        <v>122</v>
      </c>
      <c r="U46" s="218"/>
      <c r="V46" s="2257"/>
      <c r="W46" s="2257"/>
      <c r="X46" s="2257"/>
      <c r="Y46" s="2257"/>
      <c r="Z46" s="2257"/>
      <c r="AA46" s="2257"/>
      <c r="AB46" s="2257"/>
      <c r="AC46" s="2258"/>
      <c r="AD46" s="2256" t="str">
        <f>INDEX(PT_DIFFERENTIATION_NTAR,MATCH(A46,PT_DIFFERENTIATION_NTAR_ID,0))</f>
        <v/>
      </c>
      <c r="AE46" s="2257"/>
      <c r="AF46" s="2257"/>
      <c r="AG46" s="2257"/>
      <c r="AH46" s="2257"/>
      <c r="AI46" s="2257"/>
      <c r="AJ46" s="2257"/>
      <c r="AK46" s="2257"/>
      <c r="AL46" s="2257"/>
      <c r="AM46" s="2257"/>
      <c r="AN46" s="2257"/>
      <c r="AO46" s="2257"/>
      <c r="AP46" s="2257"/>
      <c r="AQ46" s="2257"/>
      <c r="AR46" s="2257"/>
      <c r="AS46" s="2257"/>
      <c r="AT46" s="2257"/>
      <c r="AU46" s="2257"/>
      <c r="AV46" s="2257"/>
      <c r="AW46" s="2257"/>
      <c r="AX46" s="2257"/>
      <c r="AY46" s="2257"/>
      <c r="AZ46" s="2257"/>
      <c r="BA46" s="2257"/>
      <c r="BB46" s="2258"/>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6"/>
      <c r="BF46" s="426" t="str">
        <f t="shared" ref="BF46:BF52" si="3">IF(T46="","",T46)</f>
        <v>Наименование тарифа</v>
      </c>
      <c r="BG46" s="426"/>
      <c r="BH46" s="426"/>
    </row>
    <row r="47" spans="1:60" ht="21" customHeight="1">
      <c r="A47" s="1279" t="s">
        <v>265</v>
      </c>
      <c r="B47" s="1279" t="s">
        <v>266</v>
      </c>
      <c r="C47" s="1279"/>
      <c r="D47" s="1279"/>
      <c r="E47" s="2271"/>
      <c r="F47" s="2270">
        <v>1</v>
      </c>
      <c r="G47" s="1279"/>
      <c r="H47" s="1279"/>
      <c r="I47" s="1279"/>
      <c r="J47" s="1279"/>
      <c r="K47" s="1279"/>
      <c r="L47" s="1280"/>
      <c r="M47" s="1281"/>
      <c r="N47" s="1281"/>
      <c r="O47" s="1281"/>
      <c r="P47" s="1326"/>
      <c r="Q47" s="1327"/>
      <c r="R47" s="278"/>
      <c r="S47" s="1403" t="str">
        <f>INDEX(PT_DIFFERENTIATION_NUM_TER,MATCH(B47,PT_DIFFERENTIATION_TER_ID,0))</f>
        <v>.</v>
      </c>
      <c r="T47" s="228" t="s">
        <v>388</v>
      </c>
      <c r="U47" s="218"/>
      <c r="V47" s="2257"/>
      <c r="W47" s="2257"/>
      <c r="X47" s="2257"/>
      <c r="Y47" s="2257"/>
      <c r="Z47" s="2257"/>
      <c r="AA47" s="2257"/>
      <c r="AB47" s="2257"/>
      <c r="AC47" s="2258"/>
      <c r="AD47" s="2256" t="str">
        <f>INDEX(PT_DIFFERENTIATION_TER,MATCH(B47,PT_DIFFERENTIATION_TER_ID,0))</f>
        <v/>
      </c>
      <c r="AE47" s="2257"/>
      <c r="AF47" s="2257"/>
      <c r="AG47" s="2257"/>
      <c r="AH47" s="2257"/>
      <c r="AI47" s="2257"/>
      <c r="AJ47" s="2257"/>
      <c r="AK47" s="2257"/>
      <c r="AL47" s="2257"/>
      <c r="AM47" s="2257"/>
      <c r="AN47" s="2257"/>
      <c r="AO47" s="2257"/>
      <c r="AP47" s="2257"/>
      <c r="AQ47" s="2257"/>
      <c r="AR47" s="2257"/>
      <c r="AS47" s="2257"/>
      <c r="AT47" s="2257"/>
      <c r="AU47" s="2257"/>
      <c r="AV47" s="2257"/>
      <c r="AW47" s="2257"/>
      <c r="AX47" s="2257"/>
      <c r="AY47" s="2257"/>
      <c r="AZ47" s="2257"/>
      <c r="BA47" s="2257"/>
      <c r="BB47" s="2258"/>
      <c r="BC47" s="1177" t="s">
        <v>389</v>
      </c>
      <c r="BE47" s="426"/>
      <c r="BF47" s="426" t="str">
        <f t="shared" si="3"/>
        <v>Территория действия тарифа</v>
      </c>
      <c r="BG47" s="426"/>
      <c r="BH47" s="426"/>
    </row>
    <row r="48" spans="1:60" ht="33.75" customHeight="1">
      <c r="A48" s="1279" t="s">
        <v>265</v>
      </c>
      <c r="B48" s="1279" t="s">
        <v>266</v>
      </c>
      <c r="C48" s="1279" t="s">
        <v>267</v>
      </c>
      <c r="D48" s="1279"/>
      <c r="E48" s="2271"/>
      <c r="F48" s="2271"/>
      <c r="G48" s="2270">
        <v>1</v>
      </c>
      <c r="H48" s="1279"/>
      <c r="I48" s="1279"/>
      <c r="J48" s="1279"/>
      <c r="K48" s="1279"/>
      <c r="L48" s="1280"/>
      <c r="M48" s="1281"/>
      <c r="N48" s="1281"/>
      <c r="O48" s="1281"/>
      <c r="P48" s="1328"/>
      <c r="Q48" s="1327"/>
      <c r="R48" s="278"/>
      <c r="S48" s="1403" t="str">
        <f>INDEX(PT_DIFFERENTIATION_NUM_CS,MATCH(C48,PT_DIFFERENTIATION_CS_ID,0))</f>
        <v>..</v>
      </c>
      <c r="T48" s="229" t="s">
        <v>506</v>
      </c>
      <c r="U48" s="218"/>
      <c r="V48" s="2257"/>
      <c r="W48" s="2257"/>
      <c r="X48" s="2257"/>
      <c r="Y48" s="2257"/>
      <c r="Z48" s="2257"/>
      <c r="AA48" s="2257"/>
      <c r="AB48" s="2257"/>
      <c r="AC48" s="2258"/>
      <c r="AD48" s="2256" t="str">
        <f>INDEX(PT_DIFFERENTIATION_CS,MATCH(C48,PT_DIFFERENTIATION_CS_ID,0))</f>
        <v/>
      </c>
      <c r="AE48" s="2257"/>
      <c r="AF48" s="2257"/>
      <c r="AG48" s="2257"/>
      <c r="AH48" s="2257"/>
      <c r="AI48" s="2257"/>
      <c r="AJ48" s="2257"/>
      <c r="AK48" s="2257"/>
      <c r="AL48" s="2257"/>
      <c r="AM48" s="2257"/>
      <c r="AN48" s="2257"/>
      <c r="AO48" s="2257"/>
      <c r="AP48" s="2257"/>
      <c r="AQ48" s="2257"/>
      <c r="AR48" s="2257"/>
      <c r="AS48" s="2257"/>
      <c r="AT48" s="2257"/>
      <c r="AU48" s="2257"/>
      <c r="AV48" s="2257"/>
      <c r="AW48" s="2257"/>
      <c r="AX48" s="2257"/>
      <c r="AY48" s="2257"/>
      <c r="AZ48" s="2257"/>
      <c r="BA48" s="2257"/>
      <c r="BB48" s="2258"/>
      <c r="BC48" s="1177" t="s">
        <v>507</v>
      </c>
      <c r="BE48" s="426"/>
      <c r="BF48" s="426" t="str">
        <f t="shared" si="3"/>
        <v>Наименование централизованной системы водоотведения</v>
      </c>
      <c r="BG48" s="426"/>
      <c r="BH48" s="426"/>
    </row>
    <row r="49" spans="1:60" s="1820" customFormat="1" ht="0" hidden="1" customHeight="1">
      <c r="A49" s="1260" t="s">
        <v>265</v>
      </c>
      <c r="B49" s="1260" t="s">
        <v>266</v>
      </c>
      <c r="C49" s="1260" t="s">
        <v>267</v>
      </c>
      <c r="D49" s="1260" t="s">
        <v>519</v>
      </c>
      <c r="E49" s="2271"/>
      <c r="F49" s="2271"/>
      <c r="G49" s="2271"/>
      <c r="H49" s="2270">
        <v>1</v>
      </c>
      <c r="I49" s="1260"/>
      <c r="J49" s="1260"/>
      <c r="K49" s="1260"/>
      <c r="L49" s="1263"/>
      <c r="M49" s="1233"/>
      <c r="N49" s="1233"/>
      <c r="O49" s="1233"/>
      <c r="P49" s="1407"/>
      <c r="Q49" s="1408"/>
      <c r="R49" s="282"/>
      <c r="S49" s="949"/>
      <c r="T49" s="1409"/>
      <c r="U49" s="1300"/>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01" t="s">
        <v>393</v>
      </c>
      <c r="BE49" s="426"/>
      <c r="BF49" s="426" t="str">
        <f t="shared" si="3"/>
        <v/>
      </c>
      <c r="BG49" s="426"/>
      <c r="BH49" s="426"/>
    </row>
    <row r="50" spans="1:60" s="1820" customFormat="1" ht="0" hidden="1" customHeight="1">
      <c r="A50" s="1260" t="s">
        <v>265</v>
      </c>
      <c r="B50" s="1260" t="s">
        <v>266</v>
      </c>
      <c r="C50" s="1260" t="s">
        <v>267</v>
      </c>
      <c r="D50" s="1260" t="s">
        <v>519</v>
      </c>
      <c r="E50" s="2271"/>
      <c r="F50" s="2271"/>
      <c r="G50" s="2271"/>
      <c r="H50" s="2271"/>
      <c r="I50" s="2268" t="str">
        <f>S49&amp;".1"</f>
        <v>.1</v>
      </c>
      <c r="J50" s="1260"/>
      <c r="K50" s="1260"/>
      <c r="L50" s="1263" t="s">
        <v>394</v>
      </c>
      <c r="M50" s="436"/>
      <c r="N50" s="436"/>
      <c r="O50" s="436"/>
      <c r="P50" s="2269">
        <v>1</v>
      </c>
      <c r="Q50" s="1391"/>
      <c r="R50" s="281"/>
      <c r="S50" s="949"/>
      <c r="T50" s="1299"/>
      <c r="U50" s="1300"/>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01"/>
      <c r="BE50" s="426"/>
      <c r="BF50" s="426" t="str">
        <f t="shared" si="3"/>
        <v/>
      </c>
      <c r="BG50" s="426"/>
      <c r="BH50" s="426"/>
    </row>
    <row r="51" spans="1:60" s="1820" customFormat="1" ht="0" hidden="1" customHeight="1">
      <c r="A51" s="1260" t="s">
        <v>265</v>
      </c>
      <c r="B51" s="1260" t="s">
        <v>266</v>
      </c>
      <c r="C51" s="1260" t="s">
        <v>267</v>
      </c>
      <c r="D51" s="1260" t="s">
        <v>519</v>
      </c>
      <c r="E51" s="2271"/>
      <c r="F51" s="2271"/>
      <c r="G51" s="2271"/>
      <c r="H51" s="2271"/>
      <c r="I51" s="2291"/>
      <c r="J51" s="2268" t="str">
        <f>S49&amp;".1"</f>
        <v>.1</v>
      </c>
      <c r="K51" s="1260"/>
      <c r="L51" s="1263"/>
      <c r="M51" s="436"/>
      <c r="N51" s="436"/>
      <c r="O51" s="436"/>
      <c r="P51" s="2269"/>
      <c r="Q51" s="2269">
        <v>1</v>
      </c>
      <c r="R51" s="282"/>
      <c r="S51" s="949"/>
      <c r="T51" s="1315"/>
      <c r="U51" s="1300"/>
      <c r="V51" s="2298"/>
      <c r="W51" s="2298"/>
      <c r="X51" s="2298"/>
      <c r="Y51" s="2298"/>
      <c r="Z51" s="2298"/>
      <c r="AA51" s="2298"/>
      <c r="AB51" s="2298"/>
      <c r="AC51" s="2299"/>
      <c r="AD51" s="2297"/>
      <c r="AE51" s="2298"/>
      <c r="AF51" s="2298"/>
      <c r="AG51" s="2298"/>
      <c r="AH51" s="2298"/>
      <c r="AI51" s="2298"/>
      <c r="AJ51" s="2298"/>
      <c r="AK51" s="2298"/>
      <c r="AL51" s="2298"/>
      <c r="AM51" s="2298"/>
      <c r="AN51" s="2343"/>
      <c r="AO51" s="2343"/>
      <c r="AP51" s="2298"/>
      <c r="AQ51" s="2298"/>
      <c r="AR51" s="2298"/>
      <c r="AS51" s="2298"/>
      <c r="AT51" s="2298"/>
      <c r="AU51" s="2298"/>
      <c r="AV51" s="2298"/>
      <c r="AW51" s="2298"/>
      <c r="AX51" s="2298"/>
      <c r="AY51" s="2298"/>
      <c r="AZ51" s="2298"/>
      <c r="BA51" s="2298"/>
      <c r="BB51" s="2299"/>
      <c r="BC51" s="1301"/>
      <c r="BE51" s="426"/>
      <c r="BF51" s="426" t="str">
        <f t="shared" si="3"/>
        <v/>
      </c>
      <c r="BG51" s="426"/>
      <c r="BH51" s="426"/>
    </row>
    <row r="52" spans="1:60" ht="11.25" customHeight="1">
      <c r="A52" s="1279" t="s">
        <v>265</v>
      </c>
      <c r="B52" s="1279" t="s">
        <v>266</v>
      </c>
      <c r="C52" s="1279" t="s">
        <v>267</v>
      </c>
      <c r="D52" s="1279" t="s">
        <v>519</v>
      </c>
      <c r="E52" s="2271"/>
      <c r="F52" s="2271"/>
      <c r="G52" s="2271"/>
      <c r="H52" s="2271"/>
      <c r="I52" s="2291"/>
      <c r="J52" s="2291"/>
      <c r="K52" s="2268" t="str">
        <f>S48&amp;".1"</f>
        <v>...1</v>
      </c>
      <c r="L52" s="1280"/>
      <c r="P52" s="2269"/>
      <c r="Q52" s="2269"/>
      <c r="R52" s="282">
        <v>1</v>
      </c>
      <c r="S52" s="2320" t="str">
        <f>$K52</f>
        <v>...1</v>
      </c>
      <c r="T52" s="2338"/>
      <c r="U52" s="218"/>
      <c r="V52" s="668"/>
      <c r="W52" s="1176"/>
      <c r="X52" s="668"/>
      <c r="Y52" s="1176"/>
      <c r="Z52" s="1644"/>
      <c r="AA52" s="1380" t="s">
        <v>61</v>
      </c>
      <c r="AB52" s="1644"/>
      <c r="AC52" s="1380" t="s">
        <v>61</v>
      </c>
      <c r="AD52" s="2195" t="s">
        <v>61</v>
      </c>
      <c r="AE52" s="2306"/>
      <c r="AF52" s="2224">
        <v>1</v>
      </c>
      <c r="AG52" s="2342"/>
      <c r="AH52" s="2124" t="s">
        <v>61</v>
      </c>
      <c r="AI52" s="2306"/>
      <c r="AJ52" s="2224">
        <v>1</v>
      </c>
      <c r="AK52" s="2341" t="s">
        <v>24</v>
      </c>
      <c r="AL52" s="2124" t="s">
        <v>61</v>
      </c>
      <c r="AM52" s="2214"/>
      <c r="AN52" s="2224">
        <v>1</v>
      </c>
      <c r="AO52" s="2335"/>
      <c r="AP52" s="2336" t="s">
        <v>61</v>
      </c>
      <c r="AQ52" s="231"/>
      <c r="AR52" s="1396">
        <v>1</v>
      </c>
      <c r="AS52" s="1402" t="s">
        <v>24</v>
      </c>
      <c r="AT52" s="668"/>
      <c r="AU52" s="1176"/>
      <c r="AV52" s="668"/>
      <c r="AW52" s="1176"/>
      <c r="AX52" s="1644"/>
      <c r="AY52" s="1380" t="s">
        <v>61</v>
      </c>
      <c r="AZ52" s="1644"/>
      <c r="BA52" s="1380" t="s">
        <v>61</v>
      </c>
      <c r="BB52" s="1265"/>
      <c r="BC52" s="2265" t="s">
        <v>491</v>
      </c>
      <c r="BE52" s="426"/>
      <c r="BF52" s="426" t="str">
        <f t="shared" si="3"/>
        <v/>
      </c>
      <c r="BG52" s="426"/>
      <c r="BH52" s="426"/>
    </row>
    <row r="53" spans="1:60" ht="11.25" customHeight="1">
      <c r="A53" s="1279"/>
      <c r="B53" s="1279"/>
      <c r="C53" s="1279"/>
      <c r="D53" s="1279"/>
      <c r="E53" s="2271"/>
      <c r="F53" s="2271"/>
      <c r="G53" s="2271"/>
      <c r="H53" s="2271"/>
      <c r="I53" s="2291"/>
      <c r="J53" s="2291"/>
      <c r="K53" s="2268"/>
      <c r="L53" s="1280"/>
      <c r="P53" s="2269"/>
      <c r="Q53" s="2269"/>
      <c r="R53" s="282"/>
      <c r="S53" s="2321"/>
      <c r="T53" s="2339"/>
      <c r="U53" s="218"/>
      <c r="V53" s="1309"/>
      <c r="W53" s="1406"/>
      <c r="X53" s="1309"/>
      <c r="Y53" s="1406"/>
      <c r="Z53" s="1309"/>
      <c r="AA53" s="1309"/>
      <c r="AB53" s="1309"/>
      <c r="AC53" s="1309"/>
      <c r="AD53" s="2196"/>
      <c r="AE53" s="2306"/>
      <c r="AF53" s="2224"/>
      <c r="AG53" s="2342"/>
      <c r="AH53" s="2124"/>
      <c r="AI53" s="2306"/>
      <c r="AJ53" s="2224"/>
      <c r="AK53" s="2341"/>
      <c r="AL53" s="2124"/>
      <c r="AM53" s="2219"/>
      <c r="AN53" s="2224"/>
      <c r="AO53" s="2335"/>
      <c r="AP53" s="2337"/>
      <c r="AQ53" s="238"/>
      <c r="AR53" s="350"/>
      <c r="AS53" s="350" t="s">
        <v>492</v>
      </c>
      <c r="AT53" s="1309"/>
      <c r="AU53" s="1406"/>
      <c r="AV53" s="1309"/>
      <c r="AW53" s="1406"/>
      <c r="AX53" s="1309"/>
      <c r="AY53" s="1309"/>
      <c r="AZ53" s="1309"/>
      <c r="BA53" s="1309"/>
      <c r="BB53" s="1313"/>
      <c r="BC53" s="2266"/>
      <c r="BE53" s="426"/>
      <c r="BF53" s="426"/>
      <c r="BG53" s="426"/>
      <c r="BH53" s="426"/>
    </row>
    <row r="54" spans="1:60" ht="11.25" customHeight="1">
      <c r="A54" s="1279" t="s">
        <v>265</v>
      </c>
      <c r="B54" s="1279"/>
      <c r="C54" s="1279"/>
      <c r="D54" s="1279"/>
      <c r="E54" s="2271"/>
      <c r="F54" s="2271"/>
      <c r="G54" s="2271"/>
      <c r="H54" s="2271"/>
      <c r="I54" s="2291"/>
      <c r="J54" s="2291"/>
      <c r="K54" s="2268"/>
      <c r="L54" s="1280"/>
      <c r="P54" s="2269"/>
      <c r="Q54" s="2269"/>
      <c r="R54" s="282"/>
      <c r="S54" s="2321"/>
      <c r="T54" s="2339"/>
      <c r="U54" s="218"/>
      <c r="V54" s="1309"/>
      <c r="W54" s="1406"/>
      <c r="X54" s="1309"/>
      <c r="Y54" s="1406"/>
      <c r="Z54" s="1309"/>
      <c r="AA54" s="1309"/>
      <c r="AB54" s="1309"/>
      <c r="AC54" s="1309"/>
      <c r="AD54" s="2196"/>
      <c r="AE54" s="2306"/>
      <c r="AF54" s="2224"/>
      <c r="AG54" s="2342"/>
      <c r="AH54" s="2124"/>
      <c r="AI54" s="2306"/>
      <c r="AJ54" s="2224"/>
      <c r="AK54" s="2341"/>
      <c r="AL54" s="2124"/>
      <c r="AM54" s="238"/>
      <c r="AN54" s="1410"/>
      <c r="AO54" s="1410" t="s">
        <v>512</v>
      </c>
      <c r="AP54" s="350"/>
      <c r="AQ54" s="350"/>
      <c r="AR54" s="350"/>
      <c r="AS54" s="1309"/>
      <c r="AT54" s="1309"/>
      <c r="AU54" s="1406"/>
      <c r="AV54" s="1309"/>
      <c r="AW54" s="1406"/>
      <c r="AX54" s="1309"/>
      <c r="AY54" s="1309"/>
      <c r="AZ54" s="1309"/>
      <c r="BA54" s="1309"/>
      <c r="BB54" s="1313"/>
      <c r="BC54" s="2266"/>
      <c r="BE54" s="426"/>
      <c r="BF54" s="426"/>
      <c r="BG54" s="426"/>
      <c r="BH54" s="426"/>
    </row>
    <row r="55" spans="1:60" ht="11.25" customHeight="1">
      <c r="A55" s="1279" t="s">
        <v>265</v>
      </c>
      <c r="B55" s="1279"/>
      <c r="C55" s="1279"/>
      <c r="D55" s="1279"/>
      <c r="E55" s="2271"/>
      <c r="F55" s="2271"/>
      <c r="G55" s="2271"/>
      <c r="H55" s="2271"/>
      <c r="I55" s="2291"/>
      <c r="J55" s="2291"/>
      <c r="K55" s="2268"/>
      <c r="L55" s="1280"/>
      <c r="P55" s="2269"/>
      <c r="Q55" s="2269"/>
      <c r="R55" s="282"/>
      <c r="S55" s="2321"/>
      <c r="T55" s="2339"/>
      <c r="U55" s="218"/>
      <c r="V55" s="1309"/>
      <c r="W55" s="1406"/>
      <c r="X55" s="1309"/>
      <c r="Y55" s="1406"/>
      <c r="Z55" s="1309"/>
      <c r="AA55" s="1309"/>
      <c r="AB55" s="1309"/>
      <c r="AC55" s="1309"/>
      <c r="AD55" s="2196"/>
      <c r="AE55" s="2306"/>
      <c r="AF55" s="2224"/>
      <c r="AG55" s="2342"/>
      <c r="AH55" s="2124"/>
      <c r="AI55" s="212"/>
      <c r="AJ55" s="349"/>
      <c r="AK55" s="233" t="s">
        <v>513</v>
      </c>
      <c r="AL55" s="1309"/>
      <c r="AM55" s="1309"/>
      <c r="AN55" s="1309"/>
      <c r="AO55" s="1309"/>
      <c r="AP55" s="1309"/>
      <c r="AQ55" s="1309"/>
      <c r="AR55" s="1309"/>
      <c r="AS55" s="1309"/>
      <c r="AT55" s="1309"/>
      <c r="AU55" s="1406"/>
      <c r="AV55" s="1309"/>
      <c r="AW55" s="1406"/>
      <c r="AX55" s="1309"/>
      <c r="AY55" s="1309"/>
      <c r="AZ55" s="1309"/>
      <c r="BA55" s="1309"/>
      <c r="BB55" s="1313"/>
      <c r="BC55" s="2266"/>
      <c r="BE55" s="426"/>
      <c r="BF55" s="426"/>
      <c r="BG55" s="426"/>
      <c r="BH55" s="426"/>
    </row>
    <row r="56" spans="1:60" ht="11.25" customHeight="1">
      <c r="A56" s="1279" t="s">
        <v>265</v>
      </c>
      <c r="B56" s="1279" t="s">
        <v>266</v>
      </c>
      <c r="C56" s="1279" t="s">
        <v>267</v>
      </c>
      <c r="D56" s="1279" t="s">
        <v>519</v>
      </c>
      <c r="E56" s="2271"/>
      <c r="F56" s="2271"/>
      <c r="G56" s="2271"/>
      <c r="H56" s="2271"/>
      <c r="I56" s="2291"/>
      <c r="J56" s="2291"/>
      <c r="K56" s="2268"/>
      <c r="L56" s="1280"/>
      <c r="P56" s="2269"/>
      <c r="Q56" s="2269"/>
      <c r="R56" s="282"/>
      <c r="S56" s="2322"/>
      <c r="T56" s="2340"/>
      <c r="U56" s="218"/>
      <c r="V56" s="1309"/>
      <c r="W56" s="1310" t="str">
        <f>Z52&amp;"-"&amp;AB52</f>
        <v>-</v>
      </c>
      <c r="X56" s="1309"/>
      <c r="Y56" s="1310" t="str">
        <f>AB52&amp;"-"&amp;AD52</f>
        <v>-да</v>
      </c>
      <c r="Z56" s="1309"/>
      <c r="AA56" s="1309"/>
      <c r="AB56" s="1309"/>
      <c r="AC56" s="1309"/>
      <c r="AD56" s="2129"/>
      <c r="AE56" s="232"/>
      <c r="AF56" s="234"/>
      <c r="AG56" s="350" t="s">
        <v>495</v>
      </c>
      <c r="AH56" s="1309"/>
      <c r="AI56" s="1309"/>
      <c r="AJ56" s="1309"/>
      <c r="AK56" s="1309"/>
      <c r="AL56" s="1309"/>
      <c r="AM56" s="1309"/>
      <c r="AN56" s="1309"/>
      <c r="AO56" s="1309"/>
      <c r="AP56" s="1309"/>
      <c r="AQ56" s="1309"/>
      <c r="AR56" s="1309"/>
      <c r="AS56" s="1309"/>
      <c r="AT56" s="1309"/>
      <c r="AU56" s="1310" t="str">
        <f>AX52&amp;"-"&amp;AZ52</f>
        <v>-</v>
      </c>
      <c r="AV56" s="1309"/>
      <c r="AW56" s="1310" t="str">
        <f>AZ52&amp;"-"&amp;BB52</f>
        <v>-</v>
      </c>
      <c r="AX56" s="1309"/>
      <c r="AY56" s="1309"/>
      <c r="AZ56" s="1309"/>
      <c r="BA56" s="1309"/>
      <c r="BB56" s="1312" t="str">
        <f>BE52&amp;"-"&amp;BG52</f>
        <v>-</v>
      </c>
      <c r="BC56" s="2266"/>
      <c r="BE56" s="426"/>
      <c r="BF56" s="426" t="str">
        <f t="shared" ref="BF56:BF63" si="4">IF(T56="","",T56)</f>
        <v/>
      </c>
      <c r="BG56" s="426"/>
      <c r="BH56" s="426"/>
    </row>
    <row r="57" spans="1:60" ht="11.25" customHeight="1">
      <c r="A57" s="1279" t="s">
        <v>265</v>
      </c>
      <c r="B57" s="1279" t="s">
        <v>266</v>
      </c>
      <c r="C57" s="1279" t="s">
        <v>267</v>
      </c>
      <c r="D57" s="1279" t="s">
        <v>519</v>
      </c>
      <c r="E57" s="2271"/>
      <c r="F57" s="2271"/>
      <c r="G57" s="2271"/>
      <c r="H57" s="2271"/>
      <c r="I57" s="2291"/>
      <c r="J57" s="2268"/>
      <c r="K57" s="1279"/>
      <c r="L57" s="1280"/>
      <c r="P57" s="2269"/>
      <c r="Q57" s="2269"/>
      <c r="R57" s="281"/>
      <c r="S57" s="1198"/>
      <c r="T57" s="205" t="s">
        <v>455</v>
      </c>
      <c r="U57" s="295"/>
      <c r="V57" s="295"/>
      <c r="W57" s="295"/>
      <c r="X57" s="295"/>
      <c r="Y57" s="295"/>
      <c r="Z57" s="295"/>
      <c r="AA57" s="295"/>
      <c r="AB57" s="295"/>
      <c r="AC57" s="249"/>
      <c r="AD57" s="1415"/>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49"/>
      <c r="BC57" s="2267"/>
      <c r="BE57" s="426"/>
      <c r="BF57" s="426" t="str">
        <f t="shared" si="4"/>
        <v>Добавить строку</v>
      </c>
      <c r="BG57" s="426"/>
      <c r="BH57" s="426"/>
    </row>
    <row r="58" spans="1:60" s="1820" customFormat="1" ht="0" hidden="1" customHeight="1">
      <c r="A58" s="1260" t="s">
        <v>265</v>
      </c>
      <c r="B58" s="1260" t="s">
        <v>266</v>
      </c>
      <c r="C58" s="1260" t="s">
        <v>267</v>
      </c>
      <c r="D58" s="1260" t="s">
        <v>519</v>
      </c>
      <c r="E58" s="2271"/>
      <c r="F58" s="2271"/>
      <c r="G58" s="2271"/>
      <c r="H58" s="2271"/>
      <c r="I58" s="2268"/>
      <c r="J58" s="1260"/>
      <c r="K58" s="1260"/>
      <c r="L58" s="1263"/>
      <c r="M58" s="436"/>
      <c r="N58" s="436"/>
      <c r="O58" s="436"/>
      <c r="P58" s="2269"/>
      <c r="Q58" s="1391"/>
      <c r="R58" s="281"/>
      <c r="S58" s="1302"/>
      <c r="T58" s="1303"/>
      <c r="U58" s="1304"/>
      <c r="V58" s="1304"/>
      <c r="W58" s="1304"/>
      <c r="X58" s="1304"/>
      <c r="Y58" s="1304"/>
      <c r="Z58" s="1304"/>
      <c r="AA58" s="1304"/>
      <c r="AB58" s="1304"/>
      <c r="AC58" s="1304"/>
      <c r="AD58" s="1304"/>
      <c r="AE58" s="1304"/>
      <c r="AF58" s="1304"/>
      <c r="AG58" s="1304"/>
      <c r="AH58" s="1304"/>
      <c r="AI58" s="1304"/>
      <c r="AJ58" s="1304"/>
      <c r="AK58" s="1304"/>
      <c r="AL58" s="1304"/>
      <c r="AM58" s="1304"/>
      <c r="AN58" s="1304"/>
      <c r="AO58" s="1304"/>
      <c r="AP58" s="1304"/>
      <c r="AQ58" s="1304"/>
      <c r="AR58" s="1304"/>
      <c r="AS58" s="1304"/>
      <c r="AT58" s="1304"/>
      <c r="AU58" s="1304"/>
      <c r="AV58" s="1304"/>
      <c r="AW58" s="1304"/>
      <c r="AX58" s="1304"/>
      <c r="AY58" s="1304"/>
      <c r="AZ58" s="1304"/>
      <c r="BA58" s="1304"/>
      <c r="BB58" s="1304"/>
      <c r="BC58" s="1305"/>
      <c r="BE58" s="426"/>
      <c r="BF58" s="426" t="str">
        <f t="shared" si="4"/>
        <v/>
      </c>
      <c r="BG58" s="426"/>
      <c r="BH58" s="426"/>
    </row>
    <row r="59" spans="1:60" s="1820" customFormat="1" ht="0" hidden="1" customHeight="1">
      <c r="A59" s="1260" t="s">
        <v>265</v>
      </c>
      <c r="B59" s="1260" t="s">
        <v>266</v>
      </c>
      <c r="C59" s="1260" t="s">
        <v>267</v>
      </c>
      <c r="D59" s="1260" t="s">
        <v>519</v>
      </c>
      <c r="E59" s="2271"/>
      <c r="F59" s="2271"/>
      <c r="G59" s="2271"/>
      <c r="H59" s="2270"/>
      <c r="I59" s="1260"/>
      <c r="J59" s="1260"/>
      <c r="K59" s="1260"/>
      <c r="L59" s="1263"/>
      <c r="M59" s="1233"/>
      <c r="N59" s="1233"/>
      <c r="O59" s="444"/>
      <c r="P59" s="313"/>
      <c r="Q59" s="1261"/>
      <c r="R59" s="1317"/>
      <c r="S59" s="1302"/>
      <c r="T59" s="1303"/>
      <c r="U59" s="1304"/>
      <c r="V59" s="1304"/>
      <c r="W59" s="1304"/>
      <c r="X59" s="1304"/>
      <c r="Y59" s="1304"/>
      <c r="Z59" s="1304"/>
      <c r="AA59" s="1304"/>
      <c r="AB59" s="1304"/>
      <c r="AC59" s="1304"/>
      <c r="AD59" s="1304"/>
      <c r="AE59" s="1304"/>
      <c r="AF59" s="1304"/>
      <c r="AG59" s="1304"/>
      <c r="AH59" s="1304"/>
      <c r="AI59" s="1304"/>
      <c r="AJ59" s="1304"/>
      <c r="AK59" s="1304"/>
      <c r="AL59" s="1304"/>
      <c r="AM59" s="1304"/>
      <c r="AN59" s="1304"/>
      <c r="AO59" s="1304"/>
      <c r="AP59" s="1304"/>
      <c r="AQ59" s="1304"/>
      <c r="AR59" s="1304"/>
      <c r="AS59" s="1304"/>
      <c r="AT59" s="1304"/>
      <c r="AU59" s="1304"/>
      <c r="AV59" s="1304"/>
      <c r="AW59" s="1304"/>
      <c r="AX59" s="1304"/>
      <c r="AY59" s="1304"/>
      <c r="AZ59" s="1304"/>
      <c r="BA59" s="1304"/>
      <c r="BB59" s="1304"/>
      <c r="BC59" s="1305"/>
      <c r="BE59" s="426"/>
      <c r="BF59" s="426" t="str">
        <f t="shared" si="4"/>
        <v/>
      </c>
      <c r="BG59" s="426"/>
      <c r="BH59" s="426"/>
    </row>
    <row r="60" spans="1:60" s="1930" customFormat="1" ht="0" hidden="1" customHeight="1">
      <c r="A60" s="1260" t="s">
        <v>265</v>
      </c>
      <c r="B60" s="1260" t="s">
        <v>266</v>
      </c>
      <c r="C60" s="1260" t="s">
        <v>267</v>
      </c>
      <c r="D60" s="1232"/>
      <c r="E60" s="2271"/>
      <c r="F60" s="2271"/>
      <c r="G60" s="2270"/>
      <c r="H60" s="1232"/>
      <c r="I60" s="1232"/>
      <c r="J60" s="1232"/>
      <c r="K60" s="1232"/>
      <c r="L60" s="1404"/>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06"/>
      <c r="BF60" s="706" t="str">
        <f t="shared" si="4"/>
        <v/>
      </c>
      <c r="BG60" s="706"/>
      <c r="BH60" s="706"/>
    </row>
    <row r="61" spans="1:60" s="1930" customFormat="1" ht="0" hidden="1" customHeight="1">
      <c r="A61" s="1260" t="s">
        <v>265</v>
      </c>
      <c r="B61" s="1260" t="s">
        <v>266</v>
      </c>
      <c r="C61" s="1232"/>
      <c r="D61" s="1232"/>
      <c r="E61" s="2271"/>
      <c r="F61" s="2270"/>
      <c r="G61" s="1232"/>
      <c r="H61" s="1232"/>
      <c r="I61" s="1232"/>
      <c r="J61" s="1232"/>
      <c r="K61" s="1232"/>
      <c r="L61" s="1404"/>
      <c r="M61" s="1239"/>
      <c r="N61" s="1239"/>
      <c r="P61" s="1234"/>
      <c r="Q61" s="1235"/>
      <c r="R61" s="1234"/>
      <c r="S61" s="1240"/>
      <c r="T61" s="1243" t="s">
        <v>215</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06"/>
      <c r="BF61" s="706" t="str">
        <f t="shared" si="4"/>
        <v>Добавить централизованную систему для дифференциации</v>
      </c>
      <c r="BG61" s="706"/>
      <c r="BH61" s="706"/>
    </row>
    <row r="62" spans="1:60" s="1820" customFormat="1" ht="0" hidden="1" customHeight="1">
      <c r="A62" s="1260" t="s">
        <v>265</v>
      </c>
      <c r="B62" s="1260"/>
      <c r="C62" s="1260"/>
      <c r="D62" s="1260"/>
      <c r="E62" s="2270"/>
      <c r="F62" s="1260"/>
      <c r="G62" s="1260"/>
      <c r="H62" s="1260"/>
      <c r="I62" s="1260"/>
      <c r="J62" s="1260"/>
      <c r="K62" s="1260"/>
      <c r="L62" s="1263"/>
      <c r="M62" s="1239"/>
      <c r="N62" s="1239"/>
      <c r="O62" s="444"/>
      <c r="P62" s="313"/>
      <c r="Q62" s="1261"/>
      <c r="R62" s="313"/>
      <c r="S62" s="1240"/>
      <c r="T62" s="1243" t="s">
        <v>216</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26"/>
      <c r="BF62" s="426" t="str">
        <f t="shared" si="4"/>
        <v>Добавить территорию для дифференциации</v>
      </c>
      <c r="BG62" s="426"/>
      <c r="BH62" s="426"/>
    </row>
    <row r="63" spans="1:60" s="1930" customFormat="1" ht="0" hidden="1" customHeight="1">
      <c r="A63" s="1232"/>
      <c r="B63" s="1232"/>
      <c r="C63" s="1232"/>
      <c r="D63" s="1232"/>
      <c r="E63" s="1260"/>
      <c r="F63" s="1232"/>
      <c r="G63" s="1232"/>
      <c r="H63" s="1232"/>
      <c r="I63" s="1232"/>
      <c r="J63" s="1232"/>
      <c r="K63" s="1232"/>
      <c r="L63" s="1404"/>
      <c r="M63" s="1239"/>
      <c r="N63" s="1239"/>
      <c r="P63" s="1234"/>
      <c r="Q63" s="1235"/>
      <c r="R63" s="1234"/>
      <c r="S63" s="1240"/>
      <c r="T63" s="1243" t="s">
        <v>217</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06"/>
      <c r="BF63" s="706" t="str">
        <f t="shared" si="4"/>
        <v>Добавить наименование тарифа</v>
      </c>
      <c r="BG63" s="706"/>
      <c r="BH63" s="706"/>
    </row>
    <row r="64" spans="1:60" ht="11.25" customHeight="1">
      <c r="M64" s="1060"/>
      <c r="N64" s="1060"/>
      <c r="O64" s="462"/>
      <c r="P64" s="1060"/>
      <c r="Q64" s="1060"/>
      <c r="R64" s="1055"/>
      <c r="S64" s="1055"/>
      <c r="BD64" s="1055"/>
      <c r="BE64" s="1055"/>
      <c r="BF64" s="1055"/>
      <c r="BG64" s="1055"/>
      <c r="BH64" s="1055"/>
    </row>
    <row r="65" spans="15:55" ht="14.25" customHeight="1">
      <c r="O65" s="462"/>
      <c r="S65" s="1164"/>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row>
    <row r="66" spans="15:55" ht="14.25" customHeight="1">
      <c r="O66" s="462"/>
      <c r="T66" s="1390"/>
      <c r="U66" s="1390"/>
      <c r="V66" s="1390"/>
      <c r="W66" s="1390"/>
      <c r="X66" s="1390"/>
      <c r="Y66" s="1390"/>
      <c r="Z66" s="1390"/>
      <c r="AA66" s="1390"/>
      <c r="AB66" s="1390"/>
      <c r="AC66" s="1390"/>
      <c r="AD66" s="1390"/>
      <c r="AE66" s="1390"/>
      <c r="AF66" s="1390"/>
      <c r="AG66" s="1390"/>
      <c r="AH66" s="1390"/>
      <c r="AI66" s="1390"/>
      <c r="AJ66" s="1390"/>
      <c r="AK66" s="1390"/>
      <c r="AL66" s="1390"/>
      <c r="AM66" s="1390"/>
      <c r="AN66" s="1390"/>
      <c r="AO66" s="1390"/>
      <c r="AP66" s="1390"/>
      <c r="AQ66" s="1390"/>
      <c r="AR66" s="1390"/>
      <c r="AS66" s="1390"/>
      <c r="AT66" s="1390"/>
      <c r="AU66" s="1390"/>
      <c r="AV66" s="1390"/>
      <c r="AW66" s="1390"/>
      <c r="AX66" s="1390"/>
      <c r="AY66" s="1390"/>
      <c r="AZ66" s="1390"/>
      <c r="BA66" s="1390"/>
      <c r="BB66" s="1390"/>
      <c r="BC66" s="1390"/>
    </row>
    <row r="67" spans="15:55" ht="14.25" customHeight="1">
      <c r="O67" s="462"/>
      <c r="S67" s="1164"/>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row>
    <row r="68" spans="15:55" ht="14.25" customHeight="1">
      <c r="O68" s="462"/>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76FA3-22E8-314E-178D-C8A1C16BF0B6}">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4.140625" style="1931" hidden="1" customWidth="1"/>
    <col min="10" max="10" width="9.85546875" style="1931" hidden="1" customWidth="1"/>
    <col min="11" max="11" width="14.7109375" style="1931" hidden="1" customWidth="1"/>
    <col min="12" max="12" width="19.140625" style="2008" hidden="1" customWidth="1"/>
    <col min="13" max="14" width="12.28515625" style="1933" hidden="1" customWidth="1"/>
    <col min="15" max="15" width="23.42578125" style="1933" hidden="1" customWidth="1"/>
    <col min="16" max="16" width="3.7109375" style="2009" customWidth="1"/>
    <col min="17" max="18" width="3.7109375" style="1939" customWidth="1"/>
    <col min="19" max="19" width="12.7109375" style="1940" customWidth="1"/>
    <col min="20" max="20" width="35.7109375" style="1905" customWidth="1"/>
    <col min="21" max="21" width="0.140625" style="1905" customWidth="1"/>
    <col min="22" max="24" width="24.7109375" style="1905" hidden="1" customWidth="1"/>
    <col min="25" max="25" width="11.7109375" style="1905" hidden="1" customWidth="1"/>
    <col min="26" max="26" width="3.7109375" style="1905" hidden="1" customWidth="1"/>
    <col min="27" max="27" width="11.7109375" style="1905" hidden="1" customWidth="1"/>
    <col min="28" max="28" width="8.5703125" style="1905" hidden="1" customWidth="1"/>
    <col min="29" max="31" width="24.7109375" style="1905" customWidth="1"/>
    <col min="32" max="32" width="11.7109375" style="1905" customWidth="1"/>
    <col min="33" max="33" width="3.7109375" style="1905" customWidth="1"/>
    <col min="34" max="34" width="11.7109375" style="1905" customWidth="1"/>
    <col min="35" max="35" width="8.5703125" style="1905" hidden="1" customWidth="1"/>
    <col min="36" max="36" width="4.7109375" style="1905" customWidth="1"/>
    <col min="37" max="37" width="115.7109375" style="1905" customWidth="1"/>
    <col min="38" max="39" width="10.5703125" style="1820"/>
    <col min="40" max="40" width="11.140625" style="1820" customWidth="1"/>
    <col min="41" max="42" width="10.5703125" style="1820"/>
  </cols>
  <sheetData>
    <row r="1" spans="1:42" ht="14.25" hidden="1" customHeight="1">
      <c r="X1" s="253"/>
      <c r="Y1" s="253"/>
      <c r="AE1" s="253"/>
      <c r="AF1" s="253"/>
    </row>
    <row r="2" spans="1:42" ht="23.25" hidden="1" customHeight="1">
      <c r="A2" s="1279"/>
      <c r="B2" s="1279"/>
      <c r="C2" s="1279"/>
      <c r="D2" s="1279"/>
      <c r="E2" s="2270">
        <v>1</v>
      </c>
      <c r="F2" s="1279"/>
      <c r="G2" s="1279"/>
      <c r="H2" s="1279"/>
      <c r="I2" s="1279"/>
      <c r="J2" s="1279"/>
      <c r="K2" s="1279"/>
      <c r="L2" s="1280"/>
      <c r="M2" s="1281"/>
      <c r="N2" s="1281"/>
      <c r="O2" s="1281"/>
      <c r="P2" s="286"/>
      <c r="Q2" s="285"/>
      <c r="R2" s="280"/>
      <c r="S2" s="1403" t="e">
        <f>INDEX(PT_DIFFERENTIATION_NUM_NTAR,MATCH(A2,PT_DIFFERENTIATION_NTAR_ID,0))</f>
        <v>#N/A</v>
      </c>
      <c r="T2" s="216" t="s">
        <v>122</v>
      </c>
      <c r="U2" s="218"/>
      <c r="V2" s="2256"/>
      <c r="W2" s="2257"/>
      <c r="X2" s="2257"/>
      <c r="Y2" s="2257"/>
      <c r="Z2" s="2257"/>
      <c r="AA2" s="2257"/>
      <c r="AB2" s="2258"/>
      <c r="AC2" s="2256" t="e">
        <f>INDEX(PT_DIFFERENTIATION_NTAR,MATCH(A2,PT_DIFFERENTIATION_NTAR_ID,0))</f>
        <v>#N/A</v>
      </c>
      <c r="AD2" s="2257"/>
      <c r="AE2" s="2257"/>
      <c r="AF2" s="2257"/>
      <c r="AG2" s="2257"/>
      <c r="AH2" s="2257"/>
      <c r="AI2" s="2257"/>
      <c r="AJ2" s="2258"/>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79"/>
      <c r="B3" s="1279"/>
      <c r="C3" s="1279"/>
      <c r="D3" s="1279"/>
      <c r="E3" s="2271"/>
      <c r="F3" s="2270">
        <v>1</v>
      </c>
      <c r="G3" s="1279"/>
      <c r="H3" s="1279"/>
      <c r="I3" s="1279"/>
      <c r="J3" s="1279"/>
      <c r="K3" s="1279"/>
      <c r="L3" s="1280"/>
      <c r="M3" s="1281"/>
      <c r="N3" s="1281"/>
      <c r="O3" s="1281"/>
      <c r="P3" s="1397"/>
      <c r="Q3" s="277"/>
      <c r="R3" s="278"/>
      <c r="S3" s="1403" t="e">
        <f>INDEX(PT_DIFFERENTIATION_NUM_TER,MATCH(B3,PT_DIFFERENTIATION_TER_ID,0))</f>
        <v>#N/A</v>
      </c>
      <c r="T3" s="228" t="s">
        <v>388</v>
      </c>
      <c r="U3" s="218"/>
      <c r="V3" s="2256"/>
      <c r="W3" s="2257"/>
      <c r="X3" s="2257"/>
      <c r="Y3" s="2257"/>
      <c r="Z3" s="2257"/>
      <c r="AA3" s="2257"/>
      <c r="AB3" s="2258"/>
      <c r="AC3" s="2256" t="e">
        <f>INDEX(PT_DIFFERENTIATION_TER,MATCH(B3,PT_DIFFERENTIATION_TER_ID,0))</f>
        <v>#N/A</v>
      </c>
      <c r="AD3" s="2257"/>
      <c r="AE3" s="2257"/>
      <c r="AF3" s="2257"/>
      <c r="AG3" s="2257"/>
      <c r="AH3" s="2257"/>
      <c r="AI3" s="2257"/>
      <c r="AJ3" s="2258"/>
      <c r="AK3" s="1177" t="s">
        <v>389</v>
      </c>
      <c r="AM3" s="426"/>
      <c r="AN3" s="426" t="str">
        <f t="shared" si="0"/>
        <v>Территория действия тарифа</v>
      </c>
      <c r="AO3" s="426"/>
      <c r="AP3" s="426"/>
    </row>
    <row r="4" spans="1:42" ht="23.25" hidden="1" customHeight="1">
      <c r="A4" s="1279"/>
      <c r="B4" s="1279"/>
      <c r="C4" s="1279"/>
      <c r="D4" s="1279"/>
      <c r="E4" s="2271"/>
      <c r="F4" s="2271"/>
      <c r="G4" s="2270">
        <v>1</v>
      </c>
      <c r="H4" s="1279"/>
      <c r="I4" s="1279"/>
      <c r="J4" s="1279"/>
      <c r="K4" s="1279"/>
      <c r="L4" s="1280"/>
      <c r="M4" s="1281"/>
      <c r="N4" s="1281"/>
      <c r="O4" s="1281"/>
      <c r="P4" s="279"/>
      <c r="Q4" s="277"/>
      <c r="R4" s="278"/>
      <c r="S4" s="1403" t="e">
        <f>INDEX(PT_DIFFERENTIATION_NUM_CS,MATCH(C4,PT_DIFFERENTIATION_CS_ID,0))</f>
        <v>#N/A</v>
      </c>
      <c r="T4" s="229" t="s">
        <v>520</v>
      </c>
      <c r="U4" s="218"/>
      <c r="V4" s="2256"/>
      <c r="W4" s="2257"/>
      <c r="X4" s="2257"/>
      <c r="Y4" s="2257"/>
      <c r="Z4" s="2257"/>
      <c r="AA4" s="2257"/>
      <c r="AB4" s="2258"/>
      <c r="AC4" s="2256" t="e">
        <f>INDEX(PT_DIFFERENTIATION_CS,MATCH(C4,PT_DIFFERENTIATION_CS_ID,0))</f>
        <v>#N/A</v>
      </c>
      <c r="AD4" s="2257"/>
      <c r="AE4" s="2257"/>
      <c r="AF4" s="2257"/>
      <c r="AG4" s="2257"/>
      <c r="AH4" s="2257"/>
      <c r="AI4" s="2257"/>
      <c r="AJ4" s="2258"/>
      <c r="AK4" s="1177" t="s">
        <v>521</v>
      </c>
      <c r="AM4" s="426"/>
      <c r="AN4" s="426" t="str">
        <f t="shared" si="0"/>
        <v>Наименование централизованной системы горячего водоснабжения</v>
      </c>
      <c r="AO4" s="426"/>
      <c r="AP4" s="426"/>
    </row>
    <row r="5" spans="1:42" ht="23.25" hidden="1" customHeight="1">
      <c r="A5" s="1279"/>
      <c r="B5" s="1279"/>
      <c r="C5" s="1279"/>
      <c r="D5" s="1279"/>
      <c r="E5" s="2271"/>
      <c r="F5" s="2271"/>
      <c r="G5" s="2271"/>
      <c r="H5" s="2271"/>
      <c r="I5" s="2268" t="e">
        <f>S4&amp;".1"</f>
        <v>#N/A</v>
      </c>
      <c r="J5" s="1279"/>
      <c r="K5" s="1279"/>
      <c r="L5" s="1280"/>
      <c r="P5" s="2269">
        <v>1</v>
      </c>
      <c r="Q5" s="1391"/>
      <c r="R5" s="281"/>
      <c r="S5" s="1403" t="e">
        <f>$I5</f>
        <v>#N/A</v>
      </c>
      <c r="T5" s="203" t="s">
        <v>471</v>
      </c>
      <c r="U5" s="218"/>
      <c r="V5" s="2329"/>
      <c r="W5" s="2330"/>
      <c r="X5" s="2330"/>
      <c r="Y5" s="2330"/>
      <c r="Z5" s="2330"/>
      <c r="AA5" s="2330"/>
      <c r="AB5" s="2331"/>
      <c r="AC5" s="2332"/>
      <c r="AD5" s="2333"/>
      <c r="AE5" s="2333"/>
      <c r="AF5" s="2333"/>
      <c r="AG5" s="2333"/>
      <c r="AH5" s="2333"/>
      <c r="AI5" s="2333"/>
      <c r="AJ5" s="2334"/>
      <c r="AK5" s="1177" t="s">
        <v>472</v>
      </c>
      <c r="AM5" s="426"/>
      <c r="AN5" s="426" t="str">
        <f t="shared" si="0"/>
        <v>Наименование признака дифференциации</v>
      </c>
      <c r="AO5" s="426"/>
      <c r="AP5" s="426"/>
    </row>
    <row r="6" spans="1:42" ht="23.25" hidden="1" customHeight="1">
      <c r="A6" s="1279"/>
      <c r="B6" s="1279"/>
      <c r="C6" s="1279"/>
      <c r="D6" s="1279"/>
      <c r="E6" s="2271"/>
      <c r="F6" s="2271"/>
      <c r="G6" s="2271"/>
      <c r="H6" s="2271"/>
      <c r="I6" s="2291"/>
      <c r="J6" s="2268" t="e">
        <f>I5&amp;".1"</f>
        <v>#N/A</v>
      </c>
      <c r="K6" s="1279"/>
      <c r="L6" s="1280" t="s">
        <v>397</v>
      </c>
      <c r="P6" s="2269"/>
      <c r="Q6" s="2269">
        <v>1</v>
      </c>
      <c r="R6" s="282"/>
      <c r="S6" s="1403" t="e">
        <f>$J6</f>
        <v>#N/A</v>
      </c>
      <c r="T6" s="204" t="s">
        <v>398</v>
      </c>
      <c r="U6" s="218"/>
      <c r="V6" s="2259"/>
      <c r="W6" s="2260"/>
      <c r="X6" s="2260"/>
      <c r="Y6" s="2260"/>
      <c r="Z6" s="2260"/>
      <c r="AA6" s="2260"/>
      <c r="AB6" s="2261"/>
      <c r="AC6" s="2259"/>
      <c r="AD6" s="2260"/>
      <c r="AE6" s="2260"/>
      <c r="AF6" s="2260"/>
      <c r="AG6" s="2260"/>
      <c r="AH6" s="2260"/>
      <c r="AI6" s="2260"/>
      <c r="AJ6" s="2261"/>
      <c r="AK6" s="1226" t="s">
        <v>473</v>
      </c>
      <c r="AM6" s="426"/>
      <c r="AN6" s="426" t="str">
        <f t="shared" si="0"/>
        <v>Группа потребителей</v>
      </c>
      <c r="AO6" s="426"/>
      <c r="AP6" s="426"/>
    </row>
    <row r="7" spans="1:42" ht="23.25" hidden="1" customHeight="1">
      <c r="A7" s="1279"/>
      <c r="B7" s="1279"/>
      <c r="C7" s="1279"/>
      <c r="D7" s="1279"/>
      <c r="E7" s="2271"/>
      <c r="F7" s="2271"/>
      <c r="G7" s="2271"/>
      <c r="H7" s="2271"/>
      <c r="I7" s="2291"/>
      <c r="J7" s="2291"/>
      <c r="K7" s="2268" t="e">
        <f>J6&amp;".1"</f>
        <v>#N/A</v>
      </c>
      <c r="L7" s="1280"/>
      <c r="P7" s="2269"/>
      <c r="Q7" s="2269"/>
      <c r="R7" s="282">
        <v>1</v>
      </c>
      <c r="S7" s="1403" t="e">
        <f>$K7</f>
        <v>#N/A</v>
      </c>
      <c r="T7" s="1352"/>
      <c r="U7" s="218"/>
      <c r="V7" s="668"/>
      <c r="W7" s="668"/>
      <c r="X7" s="1176"/>
      <c r="Y7" s="2273"/>
      <c r="Z7" s="2124" t="s">
        <v>61</v>
      </c>
      <c r="AA7" s="2273"/>
      <c r="AB7" s="2124" t="s">
        <v>61</v>
      </c>
      <c r="AC7" s="668"/>
      <c r="AD7" s="668"/>
      <c r="AE7" s="1176"/>
      <c r="AF7" s="2273"/>
      <c r="AG7" s="2124" t="s">
        <v>61</v>
      </c>
      <c r="AH7" s="2292"/>
      <c r="AI7" s="2124" t="s">
        <v>61</v>
      </c>
      <c r="AJ7" s="1353"/>
      <c r="AK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79"/>
      <c r="B8" s="1279"/>
      <c r="C8" s="1279"/>
      <c r="D8" s="1279"/>
      <c r="E8" s="2271"/>
      <c r="F8" s="2271"/>
      <c r="G8" s="2271"/>
      <c r="H8" s="2271"/>
      <c r="I8" s="2291"/>
      <c r="J8" s="2291"/>
      <c r="K8" s="2268"/>
      <c r="L8" s="1280"/>
      <c r="P8" s="2269"/>
      <c r="Q8" s="2269"/>
      <c r="R8" s="282"/>
      <c r="S8" s="1400"/>
      <c r="T8" s="218"/>
      <c r="U8" s="218"/>
      <c r="V8" s="250"/>
      <c r="W8" s="250"/>
      <c r="X8" s="254" t="str">
        <f>Y7&amp;"-"&amp;AA7</f>
        <v>-</v>
      </c>
      <c r="Y8" s="2274"/>
      <c r="Z8" s="2124"/>
      <c r="AA8" s="2274"/>
      <c r="AB8" s="2124"/>
      <c r="AC8" s="250"/>
      <c r="AD8" s="250"/>
      <c r="AE8" s="254" t="str">
        <f>AF7&amp;"-"&amp;AH7</f>
        <v>-</v>
      </c>
      <c r="AF8" s="2274"/>
      <c r="AG8" s="2124"/>
      <c r="AH8" s="2293"/>
      <c r="AI8" s="2124"/>
      <c r="AJ8" s="1354"/>
      <c r="AK8" s="2328"/>
      <c r="AM8" s="426"/>
      <c r="AN8" s="426" t="str">
        <f t="shared" si="0"/>
        <v/>
      </c>
      <c r="AO8" s="426"/>
      <c r="AP8" s="426"/>
    </row>
    <row r="9" spans="1:42" ht="21" hidden="1" customHeight="1">
      <c r="A9" s="1279"/>
      <c r="B9" s="1279"/>
      <c r="C9" s="1279"/>
      <c r="D9" s="1279"/>
      <c r="E9" s="2271"/>
      <c r="F9" s="2271"/>
      <c r="G9" s="2271"/>
      <c r="H9" s="2271"/>
      <c r="I9" s="2291"/>
      <c r="J9" s="2268"/>
      <c r="K9" s="1279"/>
      <c r="L9" s="1280"/>
      <c r="P9" s="2269"/>
      <c r="Q9" s="2269"/>
      <c r="R9" s="281"/>
      <c r="S9" s="1198"/>
      <c r="T9" s="205" t="s">
        <v>474</v>
      </c>
      <c r="U9" s="295"/>
      <c r="V9" s="295"/>
      <c r="W9" s="295"/>
      <c r="X9" s="295"/>
      <c r="Y9" s="295"/>
      <c r="Z9" s="295"/>
      <c r="AA9" s="295"/>
      <c r="AB9" s="295"/>
      <c r="AC9" s="295"/>
      <c r="AD9" s="295"/>
      <c r="AE9" s="295"/>
      <c r="AF9" s="295"/>
      <c r="AG9" s="295"/>
      <c r="AH9" s="295"/>
      <c r="AI9" s="295"/>
      <c r="AJ9" s="295"/>
      <c r="AK9" s="1177" t="s">
        <v>475</v>
      </c>
      <c r="AM9" s="426"/>
      <c r="AN9" s="426" t="str">
        <f t="shared" si="0"/>
        <v>Добавить значение признака дифференциации</v>
      </c>
      <c r="AO9" s="426"/>
      <c r="AP9" s="426"/>
    </row>
    <row r="10" spans="1:42" ht="21" hidden="1" customHeight="1">
      <c r="A10" s="1279"/>
      <c r="B10" s="1279"/>
      <c r="C10" s="1279"/>
      <c r="D10" s="1279"/>
      <c r="E10" s="2271"/>
      <c r="F10" s="2271"/>
      <c r="G10" s="2271"/>
      <c r="H10" s="2271"/>
      <c r="I10" s="2268"/>
      <c r="J10" s="1279"/>
      <c r="K10" s="1279"/>
      <c r="L10" s="1280"/>
      <c r="P10" s="2269"/>
      <c r="Q10" s="1391"/>
      <c r="R10" s="281"/>
      <c r="S10" s="1198"/>
      <c r="T10" s="292" t="s">
        <v>403</v>
      </c>
      <c r="U10" s="295"/>
      <c r="V10" s="295"/>
      <c r="W10" s="295"/>
      <c r="X10" s="295"/>
      <c r="Y10" s="295"/>
      <c r="Z10" s="295"/>
      <c r="AA10" s="295"/>
      <c r="AB10" s="294"/>
      <c r="AC10" s="295"/>
      <c r="AD10" s="295"/>
      <c r="AE10" s="295"/>
      <c r="AF10" s="295"/>
      <c r="AG10" s="295"/>
      <c r="AH10" s="295"/>
      <c r="AI10" s="294"/>
      <c r="AJ10" s="295"/>
      <c r="AK10" s="1355"/>
      <c r="AM10" s="426"/>
      <c r="AN10" s="426" t="str">
        <f t="shared" si="0"/>
        <v>Добавить группу потребителей</v>
      </c>
      <c r="AO10" s="426"/>
      <c r="AP10" s="426"/>
    </row>
    <row r="11" spans="1:42" ht="21" hidden="1" customHeight="1">
      <c r="A11" s="1279"/>
      <c r="B11" s="1279"/>
      <c r="C11" s="1279"/>
      <c r="D11" s="1279"/>
      <c r="E11" s="2271"/>
      <c r="F11" s="2271"/>
      <c r="G11" s="2271"/>
      <c r="H11" s="2270"/>
      <c r="I11" s="1279"/>
      <c r="J11" s="1279"/>
      <c r="K11" s="1279"/>
      <c r="L11" s="1280"/>
      <c r="M11" s="1281"/>
      <c r="N11" s="1281"/>
      <c r="O11" s="462"/>
      <c r="P11" s="285"/>
      <c r="Q11" s="304"/>
      <c r="R11" s="280"/>
      <c r="S11" s="1198"/>
      <c r="T11" s="300" t="s">
        <v>476</v>
      </c>
      <c r="U11" s="295"/>
      <c r="V11" s="295"/>
      <c r="W11" s="295"/>
      <c r="X11" s="295"/>
      <c r="Y11" s="295"/>
      <c r="Z11" s="295"/>
      <c r="AA11" s="295"/>
      <c r="AB11" s="294"/>
      <c r="AC11" s="295"/>
      <c r="AD11" s="295"/>
      <c r="AE11" s="295"/>
      <c r="AF11" s="295"/>
      <c r="AG11" s="295"/>
      <c r="AH11" s="295"/>
      <c r="AI11" s="294"/>
      <c r="AJ11" s="295"/>
      <c r="AK11" s="221"/>
      <c r="AM11" s="426"/>
      <c r="AN11" s="426" t="str">
        <f t="shared" si="0"/>
        <v>Добавить наименование признака дифференциации</v>
      </c>
      <c r="AO11" s="426"/>
      <c r="AP11" s="426"/>
    </row>
    <row r="12" spans="1:42" s="1930" customFormat="1" ht="14.25" hidden="1" customHeight="1">
      <c r="A12" s="1260"/>
      <c r="B12" s="1260"/>
      <c r="C12" s="1232"/>
      <c r="D12" s="1232"/>
      <c r="E12" s="2271"/>
      <c r="F12" s="2270"/>
      <c r="G12" s="1232"/>
      <c r="H12" s="1232"/>
      <c r="I12" s="1232"/>
      <c r="J12" s="1232"/>
      <c r="K12" s="1232"/>
      <c r="L12" s="1404"/>
      <c r="M12" s="1239"/>
      <c r="N12" s="1239"/>
      <c r="P12" s="1234"/>
      <c r="Q12" s="1235"/>
      <c r="R12" s="1234"/>
      <c r="S12" s="1240"/>
      <c r="T12" s="1243" t="s">
        <v>215</v>
      </c>
      <c r="U12" s="1242"/>
      <c r="V12" s="1242"/>
      <c r="W12" s="1242"/>
      <c r="X12" s="1242"/>
      <c r="Y12" s="1242"/>
      <c r="Z12" s="1242"/>
      <c r="AA12" s="1242"/>
      <c r="AB12" s="1242"/>
      <c r="AC12" s="1242"/>
      <c r="AD12" s="1242"/>
      <c r="AE12" s="1242"/>
      <c r="AF12" s="1242"/>
      <c r="AG12" s="1242"/>
      <c r="AH12" s="1242"/>
      <c r="AI12" s="1242"/>
      <c r="AJ12" s="1242"/>
      <c r="AK12" s="1242"/>
      <c r="AM12" s="706"/>
      <c r="AN12" s="706" t="str">
        <f t="shared" si="0"/>
        <v>Добавить централизованную систему для дифференциации</v>
      </c>
      <c r="AO12" s="706"/>
      <c r="AP12" s="706"/>
    </row>
    <row r="13" spans="1:42" s="1820" customFormat="1" ht="14.25" hidden="1" customHeight="1">
      <c r="A13" s="1260"/>
      <c r="B13" s="1260"/>
      <c r="C13" s="1260"/>
      <c r="D13" s="1260"/>
      <c r="E13" s="2270"/>
      <c r="F13" s="1260"/>
      <c r="G13" s="1260"/>
      <c r="H13" s="1260"/>
      <c r="I13" s="1260"/>
      <c r="J13" s="1260"/>
      <c r="K13" s="1260"/>
      <c r="L13" s="1263"/>
      <c r="M13" s="1239"/>
      <c r="N13" s="1239"/>
      <c r="O13" s="444"/>
      <c r="P13" s="313"/>
      <c r="Q13" s="1261"/>
      <c r="R13" s="313"/>
      <c r="S13" s="1240"/>
      <c r="T13" s="1243" t="s">
        <v>216</v>
      </c>
      <c r="U13" s="1242"/>
      <c r="V13" s="1242"/>
      <c r="W13" s="1242"/>
      <c r="X13" s="1242"/>
      <c r="Y13" s="1242"/>
      <c r="Z13" s="1242"/>
      <c r="AA13" s="1242"/>
      <c r="AB13" s="1242"/>
      <c r="AC13" s="1242"/>
      <c r="AD13" s="1242"/>
      <c r="AE13" s="1242"/>
      <c r="AF13" s="1242"/>
      <c r="AG13" s="1242"/>
      <c r="AH13" s="1242"/>
      <c r="AI13" s="1242"/>
      <c r="AJ13" s="1242"/>
      <c r="AK13" s="1242"/>
      <c r="AM13" s="426"/>
      <c r="AN13" s="426" t="str">
        <f t="shared" si="0"/>
        <v>Добавить территорию для дифференциации</v>
      </c>
      <c r="AO13" s="426"/>
      <c r="AP13" s="426"/>
    </row>
    <row r="14" spans="1:42" ht="14.25" hidden="1" customHeight="1">
      <c r="AB14" s="253"/>
      <c r="AI14" s="253"/>
    </row>
    <row r="15" spans="1:42" ht="14.25" hidden="1" customHeight="1">
      <c r="AC15" s="1276"/>
      <c r="AD15" s="1276"/>
      <c r="AE15" s="1277"/>
      <c r="AF15" s="2275"/>
      <c r="AG15" s="2276" t="s">
        <v>61</v>
      </c>
      <c r="AH15" s="2275"/>
      <c r="AI15" s="2276" t="s">
        <v>61</v>
      </c>
    </row>
    <row r="16" spans="1:42" ht="14.25" hidden="1" customHeight="1">
      <c r="AC16" s="1276"/>
      <c r="AD16" s="1276"/>
      <c r="AE16" s="254" t="str">
        <f>AF15&amp;"-"&amp;AH15</f>
        <v>-</v>
      </c>
      <c r="AF16" s="2276"/>
      <c r="AG16" s="2276"/>
      <c r="AH16" s="2276"/>
      <c r="AI16" s="2276"/>
    </row>
    <row r="17" spans="1:42" ht="14.25" hidden="1" customHeight="1">
      <c r="AI17" s="253"/>
    </row>
    <row r="18" spans="1:42" s="1931" customFormat="1" ht="22.5" hidden="1" customHeight="1">
      <c r="L18" s="1388"/>
      <c r="M18" s="1278"/>
      <c r="N18" s="1278"/>
      <c r="O18" s="1283" t="s">
        <v>406</v>
      </c>
      <c r="P18" s="1278"/>
      <c r="Q18" s="1287"/>
      <c r="R18" s="1287"/>
      <c r="S18" s="648"/>
      <c r="Y18" s="1283"/>
      <c r="AA18" s="1283"/>
      <c r="AB18" s="1282"/>
      <c r="AF18" s="1283"/>
      <c r="AH18" s="1283"/>
      <c r="AI18" s="1282"/>
      <c r="AL18" s="437"/>
      <c r="AM18" s="437"/>
      <c r="AN18" s="437"/>
      <c r="AO18" s="437"/>
      <c r="AP18" s="437"/>
    </row>
    <row r="19" spans="1:42" s="1931" customFormat="1" ht="14.25" hidden="1" customHeight="1">
      <c r="L19" s="1388"/>
      <c r="M19" s="1278"/>
      <c r="N19" s="1278"/>
      <c r="O19" s="1278"/>
      <c r="P19" s="1278"/>
      <c r="Q19" s="1287"/>
      <c r="R19" s="1287"/>
      <c r="S19" s="648"/>
      <c r="AB19" s="1282"/>
      <c r="AI19" s="1282"/>
      <c r="AL19" s="437"/>
      <c r="AM19" s="437"/>
      <c r="AN19" s="437"/>
      <c r="AO19" s="437"/>
      <c r="AP19" s="437"/>
    </row>
    <row r="20" spans="1:42" s="1931" customFormat="1" ht="12" hidden="1" customHeight="1">
      <c r="L20" s="1388"/>
      <c r="M20" s="1278"/>
      <c r="N20" s="1278"/>
      <c r="O20" s="1280" t="s">
        <v>407</v>
      </c>
      <c r="P20" s="1278"/>
      <c r="Q20" s="1356"/>
      <c r="R20" s="1356"/>
      <c r="S20" s="648"/>
      <c r="T20" s="1060" t="s">
        <v>408</v>
      </c>
      <c r="Z20" s="107" t="s">
        <v>409</v>
      </c>
      <c r="AB20" s="107" t="s">
        <v>410</v>
      </c>
      <c r="AC20" s="1060" t="s">
        <v>408</v>
      </c>
      <c r="AG20" s="107" t="s">
        <v>411</v>
      </c>
      <c r="AI20" s="107" t="s">
        <v>410</v>
      </c>
    </row>
    <row r="21" spans="1:42" ht="14.25" hidden="1" customHeight="1">
      <c r="O21" s="1280"/>
    </row>
    <row r="22" spans="1:42" ht="14.25" hidden="1" customHeight="1">
      <c r="O22" s="1280"/>
    </row>
    <row r="23" spans="1:42" ht="14.25" customHeight="1">
      <c r="Q23" s="305"/>
      <c r="R23" s="305"/>
      <c r="S23" s="1195"/>
      <c r="T23" s="290"/>
      <c r="U23" s="290"/>
      <c r="V23" s="435"/>
      <c r="W23" s="435"/>
      <c r="X23" s="435"/>
      <c r="Y23" s="435"/>
      <c r="Z23" s="435"/>
      <c r="AA23" s="435"/>
      <c r="AB23" s="435"/>
      <c r="AC23" s="435"/>
      <c r="AD23" s="435"/>
      <c r="AE23" s="435"/>
      <c r="AF23" s="435"/>
      <c r="AG23" s="435"/>
      <c r="AH23" s="435"/>
      <c r="AI23" s="435"/>
    </row>
    <row r="24" spans="1:42" ht="29.25" customHeight="1">
      <c r="Q24" s="305"/>
      <c r="R24" s="305"/>
      <c r="S24" s="225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4"/>
      <c r="U24" s="2254"/>
      <c r="V24" s="2254"/>
      <c r="W24" s="2254"/>
      <c r="X24" s="2254"/>
      <c r="Y24" s="2254"/>
      <c r="Z24" s="2254"/>
      <c r="AA24" s="2254"/>
      <c r="AB24" s="2254"/>
      <c r="AC24" s="2254"/>
      <c r="AD24" s="2254"/>
      <c r="AE24" s="2254"/>
      <c r="AF24" s="2254"/>
      <c r="AG24" s="2254"/>
      <c r="AH24" s="2254"/>
      <c r="AI24" s="1152"/>
    </row>
    <row r="25" spans="1:42" ht="14.25" customHeight="1">
      <c r="Q25" s="305"/>
      <c r="R25" s="305"/>
      <c r="S25" s="2200" t="str">
        <f>IF(org=0,"Не определено",org)</f>
        <v>ПАО "Юнипро"</v>
      </c>
      <c r="T25" s="2200"/>
      <c r="U25" s="2200"/>
      <c r="V25" s="2200"/>
      <c r="W25" s="2200"/>
      <c r="X25" s="2200"/>
      <c r="Y25" s="2200"/>
      <c r="Z25" s="2200"/>
      <c r="AA25" s="2200"/>
      <c r="AB25" s="2200"/>
      <c r="AC25" s="2200"/>
      <c r="AD25" s="2200"/>
      <c r="AE25" s="2200"/>
      <c r="AF25" s="2200"/>
      <c r="AG25" s="2200"/>
      <c r="AH25" s="2200"/>
      <c r="AI25" s="1152"/>
    </row>
    <row r="26" spans="1:42" ht="14.25" customHeight="1">
      <c r="Q26" s="305"/>
      <c r="R26" s="305"/>
      <c r="S26" s="1195"/>
      <c r="T26" s="290"/>
      <c r="U26" s="290"/>
      <c r="V26" s="246"/>
      <c r="W26" s="246"/>
      <c r="X26" s="246"/>
      <c r="Y26" s="246"/>
      <c r="Z26" s="246"/>
      <c r="AA26" s="246"/>
      <c r="AB26" s="246"/>
      <c r="AC26" s="246"/>
      <c r="AD26" s="246"/>
      <c r="AE26" s="246"/>
      <c r="AF26" s="246"/>
      <c r="AG26" s="246"/>
      <c r="AH26" s="246"/>
      <c r="AI26" s="246"/>
      <c r="AJ26" s="435"/>
    </row>
    <row r="27" spans="1:42" s="1936" customFormat="1" ht="25.5" customHeight="1">
      <c r="A27" s="1284"/>
      <c r="B27" s="1284"/>
      <c r="C27" s="1284"/>
      <c r="D27" s="1284"/>
      <c r="E27" s="1284"/>
      <c r="F27" s="1284"/>
      <c r="G27" s="1284"/>
      <c r="H27" s="1284"/>
      <c r="I27" s="1284"/>
      <c r="J27" s="1284"/>
      <c r="K27" s="1284"/>
      <c r="L27" s="1285"/>
      <c r="M27" s="1284"/>
      <c r="N27" s="1284"/>
      <c r="O27" s="1284"/>
      <c r="S27" s="2262" t="s">
        <v>38</v>
      </c>
      <c r="T27" s="2262"/>
      <c r="U27" s="1288"/>
      <c r="V27" s="2263" t="str">
        <f>IF(TITLE_NAME_OR_PR_CHANGE="",IF(TITLE_NAME_OR_PR="","",TITLE_NAME_OR_PR),TITLE_NAME_OR_PR_CHANGE)</f>
        <v>Министерство тарифной политики Красноярского края</v>
      </c>
      <c r="W27" s="2263"/>
      <c r="X27" s="2263"/>
      <c r="Y27" s="2263"/>
      <c r="Z27" s="2263"/>
      <c r="AA27" s="2263"/>
      <c r="AB27" s="252"/>
      <c r="AC27" s="2263" t="str">
        <f>IF(TITLE_NAME_OR_PR_CHANGE="",IF(TITLE_NAME_OR_PR="","",TITLE_NAME_OR_PR),TITLE_NAME_OR_PR_CHANGE)</f>
        <v>Министерство тарифной политики Красноярского края</v>
      </c>
      <c r="AD27" s="2263"/>
      <c r="AE27" s="2263"/>
      <c r="AF27" s="2263"/>
      <c r="AG27" s="2263"/>
      <c r="AH27" s="2263"/>
      <c r="AI27" s="252"/>
      <c r="AJ27" s="252"/>
      <c r="AK27" s="199"/>
      <c r="AL27" s="296"/>
      <c r="AM27" s="296"/>
      <c r="AN27" s="296"/>
      <c r="AO27" s="296"/>
      <c r="AP27" s="296"/>
    </row>
    <row r="28" spans="1:42" s="1936" customFormat="1" ht="18.75" customHeight="1">
      <c r="A28" s="1284"/>
      <c r="B28" s="1284"/>
      <c r="C28" s="1284"/>
      <c r="D28" s="1284"/>
      <c r="E28" s="1284"/>
      <c r="F28" s="1284"/>
      <c r="G28" s="1284"/>
      <c r="H28" s="1284"/>
      <c r="I28" s="1284"/>
      <c r="J28" s="1284"/>
      <c r="K28" s="1284"/>
      <c r="L28" s="1285"/>
      <c r="M28" s="1284"/>
      <c r="N28" s="1284"/>
      <c r="O28" s="1284"/>
      <c r="S28" s="2262" t="s">
        <v>412</v>
      </c>
      <c r="T28" s="2262"/>
      <c r="U28" s="1288"/>
      <c r="V28" s="2272">
        <f>IF(TITLE_DATE_PR_CHANGE="",IF(TITLE_DATE_PR="","",TITLE_DATE_PR),TITLE_DATE_PR_CHANGE)</f>
        <v>45278.357847222222</v>
      </c>
      <c r="W28" s="2272"/>
      <c r="X28" s="2272"/>
      <c r="Y28" s="2272"/>
      <c r="Z28" s="2272"/>
      <c r="AA28" s="2272"/>
      <c r="AB28" s="252"/>
      <c r="AC28" s="2272">
        <f>IF(TITLE_DATE_PR_CHANGE="",IF(TITLE_DATE_PR="","",TITLE_DATE_PR),TITLE_DATE_PR_CHANGE)</f>
        <v>45278.357847222222</v>
      </c>
      <c r="AD28" s="2272"/>
      <c r="AE28" s="2272"/>
      <c r="AF28" s="2272"/>
      <c r="AG28" s="2272"/>
      <c r="AH28" s="2272"/>
      <c r="AI28" s="252"/>
      <c r="AJ28" s="252"/>
      <c r="AK28" s="199"/>
      <c r="AL28" s="296"/>
      <c r="AM28" s="296"/>
      <c r="AN28" s="296"/>
      <c r="AO28" s="296"/>
      <c r="AP28" s="296"/>
    </row>
    <row r="29" spans="1:42" s="1936" customFormat="1" ht="18.75" customHeight="1">
      <c r="A29" s="1284"/>
      <c r="B29" s="1284"/>
      <c r="C29" s="1284"/>
      <c r="D29" s="1284"/>
      <c r="E29" s="1284"/>
      <c r="F29" s="1284"/>
      <c r="G29" s="1284"/>
      <c r="H29" s="1284"/>
      <c r="I29" s="1284"/>
      <c r="J29" s="1284"/>
      <c r="K29" s="1284"/>
      <c r="L29" s="1285"/>
      <c r="M29" s="1284"/>
      <c r="N29" s="1284"/>
      <c r="O29" s="1284"/>
      <c r="S29" s="2262" t="s">
        <v>413</v>
      </c>
      <c r="T29" s="2262"/>
      <c r="U29" s="1288"/>
      <c r="V29" s="2263" t="str">
        <f>IF(TITLE_NUMBER_PR_CHANGE="",IF(TITLE_NUMBER_PR="","",TITLE_NUMBER_PR),TITLE_NUMBER_PR_CHANGE)</f>
        <v>924-в</v>
      </c>
      <c r="W29" s="2263"/>
      <c r="X29" s="2263"/>
      <c r="Y29" s="2263"/>
      <c r="Z29" s="2263"/>
      <c r="AA29" s="2263"/>
      <c r="AB29" s="252"/>
      <c r="AC29" s="2263" t="str">
        <f>IF(TITLE_NUMBER_PR_CHANGE="",IF(TITLE_NUMBER_PR="","",TITLE_NUMBER_PR),TITLE_NUMBER_PR_CHANGE)</f>
        <v>924-в</v>
      </c>
      <c r="AD29" s="2263"/>
      <c r="AE29" s="2263"/>
      <c r="AF29" s="2263"/>
      <c r="AG29" s="2263"/>
      <c r="AH29" s="2263"/>
      <c r="AI29" s="252"/>
      <c r="AJ29" s="252"/>
      <c r="AK29" s="199"/>
      <c r="AL29" s="296"/>
      <c r="AM29" s="296"/>
      <c r="AN29" s="296"/>
      <c r="AO29" s="296"/>
      <c r="AP29" s="296"/>
    </row>
    <row r="30" spans="1:42" s="1936" customFormat="1" ht="18.75" customHeight="1">
      <c r="A30" s="1284"/>
      <c r="B30" s="1284"/>
      <c r="C30" s="1284"/>
      <c r="D30" s="1284"/>
      <c r="E30" s="1284"/>
      <c r="F30" s="1284"/>
      <c r="G30" s="1284"/>
      <c r="H30" s="1284"/>
      <c r="I30" s="1284"/>
      <c r="J30" s="1284"/>
      <c r="K30" s="1284"/>
      <c r="L30" s="1285"/>
      <c r="M30" s="1284"/>
      <c r="N30" s="1284"/>
      <c r="O30" s="1284"/>
      <c r="S30" s="2262" t="s">
        <v>40</v>
      </c>
      <c r="T30" s="2262"/>
      <c r="U30" s="1288"/>
      <c r="V30" s="2263" t="str">
        <f>IF(TITLE_IST_PUB_CHANGE="",IF(TITLE_IST_PUB="","",TITLE_IST_PUB),TITLE_IST_PUB_CHANGE)</f>
        <v>Официальный интернет-портал правовой информации Красноярского края (http://www.zakon.krskstate.ru/)</v>
      </c>
      <c r="W30" s="2263"/>
      <c r="X30" s="2263"/>
      <c r="Y30" s="2263"/>
      <c r="Z30" s="2263"/>
      <c r="AA30" s="2263"/>
      <c r="AB30" s="252"/>
      <c r="AC30" s="2263" t="str">
        <f>IF(TITLE_IST_PUB_CHANGE="",IF(TITLE_IST_PUB="","",TITLE_IST_PUB),TITLE_IST_PUB_CHANGE)</f>
        <v>Официальный интернет-портал правовой информации Красноярского края (http://www.zakon.krskstate.ru/)</v>
      </c>
      <c r="AD30" s="2263"/>
      <c r="AE30" s="2263"/>
      <c r="AF30" s="2263"/>
      <c r="AG30" s="2263"/>
      <c r="AH30" s="2263"/>
      <c r="AI30" s="252"/>
      <c r="AJ30" s="252"/>
      <c r="AK30" s="199"/>
      <c r="AL30" s="296"/>
      <c r="AM30" s="296"/>
      <c r="AN30" s="296"/>
      <c r="AO30" s="296"/>
      <c r="AP30" s="296"/>
    </row>
    <row r="31" spans="1:42" ht="14.25" hidden="1" customHeight="1">
      <c r="Q31" s="305"/>
      <c r="R31" s="305"/>
      <c r="S31" s="1195"/>
      <c r="T31" s="290"/>
      <c r="U31" s="290"/>
      <c r="V31" s="246"/>
      <c r="W31" s="246"/>
      <c r="X31" s="246"/>
      <c r="Y31" s="246"/>
      <c r="Z31" s="246"/>
      <c r="AA31" s="246"/>
      <c r="AB31" s="246"/>
      <c r="AC31" s="246"/>
      <c r="AD31" s="246"/>
      <c r="AE31" s="246"/>
      <c r="AF31" s="246"/>
      <c r="AG31" s="246"/>
      <c r="AH31" s="246"/>
      <c r="AI31" s="246"/>
      <c r="AJ31" s="435"/>
    </row>
    <row r="32" spans="1:42" s="1936" customFormat="1" ht="18.75" hidden="1" customHeight="1">
      <c r="A32" s="1284"/>
      <c r="B32" s="1284"/>
      <c r="C32" s="1284"/>
      <c r="D32" s="1284"/>
      <c r="E32" s="1284"/>
      <c r="F32" s="1284"/>
      <c r="G32" s="1284"/>
      <c r="H32" s="1284"/>
      <c r="I32" s="1284"/>
      <c r="J32" s="1284"/>
      <c r="K32" s="1284"/>
      <c r="L32" s="1285"/>
      <c r="M32" s="1284"/>
      <c r="N32" s="1284"/>
      <c r="O32" s="1284"/>
      <c r="S32" s="2262" t="s">
        <v>414</v>
      </c>
      <c r="T32" s="2262"/>
      <c r="U32" s="1288"/>
      <c r="V32" s="2272">
        <f>IF(TITLE_DATE_PR_CHANGE="",IF(TITLE_DATE_PR="","",TITLE_DATE_PR),TITLE_DATE_PR_CHANGE)</f>
        <v>45278.357847222222</v>
      </c>
      <c r="W32" s="2272"/>
      <c r="X32" s="2272"/>
      <c r="Y32" s="2272"/>
      <c r="Z32" s="2272"/>
      <c r="AA32" s="2272"/>
      <c r="AB32" s="252"/>
      <c r="AC32" s="2272">
        <f>IF(TITLE_DATE_PR_CHANGE="",IF(TITLE_DATE_PR="","",TITLE_DATE_PR),TITLE_DATE_PR_CHANGE)</f>
        <v>45278.357847222222</v>
      </c>
      <c r="AD32" s="2272"/>
      <c r="AE32" s="2272"/>
      <c r="AF32" s="2272"/>
      <c r="AG32" s="2272"/>
      <c r="AH32" s="2272"/>
      <c r="AI32" s="252"/>
      <c r="AJ32" s="252"/>
      <c r="AK32" s="199"/>
      <c r="AL32" s="296"/>
      <c r="AM32" s="296"/>
      <c r="AN32" s="296"/>
      <c r="AO32" s="296"/>
      <c r="AP32" s="296"/>
    </row>
    <row r="33" spans="1:42" s="1936" customFormat="1" ht="18.75" hidden="1" customHeight="1">
      <c r="A33" s="1284"/>
      <c r="B33" s="1284"/>
      <c r="C33" s="1284"/>
      <c r="D33" s="1284"/>
      <c r="E33" s="1284"/>
      <c r="F33" s="1284"/>
      <c r="G33" s="1284"/>
      <c r="H33" s="1284"/>
      <c r="I33" s="1284"/>
      <c r="J33" s="1284"/>
      <c r="K33" s="1284"/>
      <c r="L33" s="1285"/>
      <c r="M33" s="1284"/>
      <c r="N33" s="1284"/>
      <c r="O33" s="1284"/>
      <c r="S33" s="2262" t="s">
        <v>415</v>
      </c>
      <c r="T33" s="2262"/>
      <c r="U33" s="1288"/>
      <c r="V33" s="2263" t="str">
        <f>IF(TITLE_NUMBER_PR_CHANGE="",IF(TITLE_NUMBER_PR="","",TITLE_NUMBER_PR),TITLE_NUMBER_PR_CHANGE)</f>
        <v>924-в</v>
      </c>
      <c r="W33" s="2263"/>
      <c r="X33" s="2263"/>
      <c r="Y33" s="2263"/>
      <c r="Z33" s="2263"/>
      <c r="AA33" s="2263"/>
      <c r="AB33" s="252"/>
      <c r="AC33" s="2263" t="str">
        <f>IF(TITLE_NUMBER_PR_CHANGE="",IF(TITLE_NUMBER_PR="","",TITLE_NUMBER_PR),TITLE_NUMBER_PR_CHANGE)</f>
        <v>924-в</v>
      </c>
      <c r="AD33" s="2263"/>
      <c r="AE33" s="2263"/>
      <c r="AF33" s="2263"/>
      <c r="AG33" s="2263"/>
      <c r="AH33" s="2263"/>
      <c r="AI33" s="252"/>
      <c r="AJ33" s="252"/>
      <c r="AK33" s="199"/>
      <c r="AL33" s="296"/>
      <c r="AM33" s="296"/>
      <c r="AN33" s="296"/>
      <c r="AO33" s="296"/>
      <c r="AP33" s="296"/>
    </row>
    <row r="34" spans="1:42" s="1936" customFormat="1" ht="0.75" customHeight="1">
      <c r="A34" s="1284"/>
      <c r="B34" s="1284"/>
      <c r="C34" s="1284"/>
      <c r="D34" s="1284"/>
      <c r="E34" s="1284"/>
      <c r="F34" s="1284"/>
      <c r="G34" s="1284"/>
      <c r="H34" s="1284"/>
      <c r="I34" s="1284"/>
      <c r="J34" s="1284"/>
      <c r="K34" s="1284"/>
      <c r="L34" s="1285"/>
      <c r="M34" s="1284"/>
      <c r="N34" s="1284"/>
      <c r="O34" s="1284"/>
      <c r="S34" s="248"/>
      <c r="T34" s="248"/>
      <c r="U34" s="1398"/>
      <c r="V34" s="252"/>
      <c r="W34" s="252"/>
      <c r="X34" s="252"/>
      <c r="Y34" s="252"/>
      <c r="Z34" s="252"/>
      <c r="AA34" s="252"/>
      <c r="AB34" s="197" t="s">
        <v>416</v>
      </c>
      <c r="AC34" s="252"/>
      <c r="AD34" s="252"/>
      <c r="AE34" s="252"/>
      <c r="AF34" s="252"/>
      <c r="AG34" s="252"/>
      <c r="AH34" s="252"/>
      <c r="AI34" s="197" t="s">
        <v>416</v>
      </c>
      <c r="AL34" s="296"/>
      <c r="AM34" s="296"/>
      <c r="AN34" s="296"/>
      <c r="AO34" s="296"/>
      <c r="AP34" s="296"/>
    </row>
    <row r="35" spans="1:42" ht="14.25" customHeight="1">
      <c r="Q35" s="305"/>
      <c r="R35" s="305"/>
      <c r="S35" s="1195"/>
      <c r="T35" s="290"/>
      <c r="U35" s="1153"/>
      <c r="V35" s="2264"/>
      <c r="W35" s="2264"/>
      <c r="X35" s="2264"/>
      <c r="Y35" s="2264"/>
      <c r="Z35" s="2264"/>
      <c r="AA35" s="2264"/>
      <c r="AB35" s="2264"/>
      <c r="AC35" s="2264"/>
      <c r="AD35" s="2264"/>
      <c r="AE35" s="2264"/>
      <c r="AF35" s="2264"/>
      <c r="AG35" s="2264"/>
      <c r="AH35" s="2264"/>
      <c r="AI35" s="2264"/>
    </row>
    <row r="36" spans="1:42" ht="14.25" customHeight="1">
      <c r="Q36" s="305"/>
      <c r="R36" s="305"/>
      <c r="S36" s="2143" t="s">
        <v>289</v>
      </c>
      <c r="T36" s="2143"/>
      <c r="U36" s="2143"/>
      <c r="V36" s="2143"/>
      <c r="W36" s="2143"/>
      <c r="X36" s="2143"/>
      <c r="Y36" s="2143"/>
      <c r="Z36" s="2143"/>
      <c r="AA36" s="2143"/>
      <c r="AB36" s="2143"/>
      <c r="AC36" s="2143"/>
      <c r="AD36" s="2143"/>
      <c r="AE36" s="2143"/>
      <c r="AF36" s="2143"/>
      <c r="AG36" s="2143"/>
      <c r="AH36" s="2143"/>
      <c r="AI36" s="2143"/>
      <c r="AJ36" s="2143"/>
      <c r="AK36" s="2143" t="s">
        <v>290</v>
      </c>
    </row>
    <row r="37" spans="1:42" ht="14.25" customHeight="1">
      <c r="Q37" s="305"/>
      <c r="R37" s="305"/>
      <c r="S37" s="2278" t="s">
        <v>87</v>
      </c>
      <c r="T37" s="2229" t="s">
        <v>417</v>
      </c>
      <c r="U37" s="219"/>
      <c r="V37" s="2279" t="s">
        <v>418</v>
      </c>
      <c r="W37" s="2280"/>
      <c r="X37" s="2280"/>
      <c r="Y37" s="2280"/>
      <c r="Z37" s="2280"/>
      <c r="AA37" s="2281"/>
      <c r="AB37" s="2282" t="s">
        <v>419</v>
      </c>
      <c r="AC37" s="2279" t="s">
        <v>418</v>
      </c>
      <c r="AD37" s="2280"/>
      <c r="AE37" s="2280"/>
      <c r="AF37" s="2280"/>
      <c r="AG37" s="2280"/>
      <c r="AH37" s="2281"/>
      <c r="AI37" s="2282" t="s">
        <v>420</v>
      </c>
      <c r="AJ37" s="2285" t="s">
        <v>421</v>
      </c>
      <c r="AK37" s="2143"/>
    </row>
    <row r="38" spans="1:42" ht="33.75" customHeight="1">
      <c r="Q38" s="305"/>
      <c r="R38" s="305"/>
      <c r="S38" s="2278"/>
      <c r="T38" s="2229"/>
      <c r="U38" s="938"/>
      <c r="V38" s="1393" t="s">
        <v>522</v>
      </c>
      <c r="W38" s="2115" t="s">
        <v>523</v>
      </c>
      <c r="X38" s="2114"/>
      <c r="Y38" s="2115" t="s">
        <v>425</v>
      </c>
      <c r="Z38" s="2120"/>
      <c r="AA38" s="2114"/>
      <c r="AB38" s="2283"/>
      <c r="AC38" s="1393" t="s">
        <v>522</v>
      </c>
      <c r="AD38" s="2115" t="s">
        <v>523</v>
      </c>
      <c r="AE38" s="2114"/>
      <c r="AF38" s="2115" t="s">
        <v>425</v>
      </c>
      <c r="AG38" s="2120"/>
      <c r="AH38" s="2114"/>
      <c r="AI38" s="2283"/>
      <c r="AJ38" s="2286"/>
      <c r="AK38" s="2143"/>
    </row>
    <row r="39" spans="1:42" ht="86.25" customHeight="1">
      <c r="A39" s="1286"/>
      <c r="B39" s="1286" t="s">
        <v>134</v>
      </c>
      <c r="C39" s="1286" t="s">
        <v>135</v>
      </c>
      <c r="D39" s="1286" t="s">
        <v>136</v>
      </c>
      <c r="E39" s="1280" t="s">
        <v>426</v>
      </c>
      <c r="F39" s="1280" t="s">
        <v>427</v>
      </c>
      <c r="G39" s="1280" t="s">
        <v>428</v>
      </c>
      <c r="H39" s="1280"/>
      <c r="I39" s="1280" t="s">
        <v>479</v>
      </c>
      <c r="J39" s="1280" t="s">
        <v>431</v>
      </c>
      <c r="K39" s="1280" t="s">
        <v>480</v>
      </c>
      <c r="L39" s="1280" t="s">
        <v>407</v>
      </c>
      <c r="Q39" s="305"/>
      <c r="R39" s="305"/>
      <c r="S39" s="2278"/>
      <c r="T39" s="2229"/>
      <c r="U39" s="220"/>
      <c r="V39" s="1393" t="s">
        <v>524</v>
      </c>
      <c r="W39" s="1128" t="s">
        <v>525</v>
      </c>
      <c r="X39" s="1128" t="s">
        <v>526</v>
      </c>
      <c r="Y39" s="1399" t="s">
        <v>435</v>
      </c>
      <c r="Z39" s="2238" t="s">
        <v>436</v>
      </c>
      <c r="AA39" s="2240"/>
      <c r="AB39" s="2284"/>
      <c r="AC39" s="1393" t="s">
        <v>524</v>
      </c>
      <c r="AD39" s="1128" t="s">
        <v>525</v>
      </c>
      <c r="AE39" s="1128" t="s">
        <v>526</v>
      </c>
      <c r="AF39" s="1399" t="s">
        <v>435</v>
      </c>
      <c r="AG39" s="2238" t="s">
        <v>436</v>
      </c>
      <c r="AH39" s="2240"/>
      <c r="AI39" s="2284"/>
      <c r="AJ39" s="2287"/>
      <c r="AK39" s="2143"/>
    </row>
    <row r="40" spans="1:42" s="1819" customFormat="1" ht="11.25"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108</v>
      </c>
      <c r="T40" s="1172" t="s">
        <v>109</v>
      </c>
      <c r="U40" s="1154" t="str">
        <f ca="1">OFFSET(U40,0,-1)</f>
        <v>2</v>
      </c>
      <c r="V40" s="1392">
        <f ca="1">OFFSET(V40,0,-1)+1</f>
        <v>3</v>
      </c>
      <c r="W40" s="1392">
        <f ca="1">OFFSET(W40,0,-1)+1</f>
        <v>4</v>
      </c>
      <c r="X40" s="1392">
        <f ca="1">OFFSET(X40,0,-1)+1</f>
        <v>5</v>
      </c>
      <c r="Y40" s="1392">
        <f ca="1">OFFSET(Y40,0,-1)+1</f>
        <v>6</v>
      </c>
      <c r="Z40" s="2277">
        <f ca="1">OFFSET(Z40,0,-1)+1</f>
        <v>7</v>
      </c>
      <c r="AA40" s="2277"/>
      <c r="AB40" s="1392">
        <f ca="1">OFFSET(AB40,0,-2)+1</f>
        <v>8</v>
      </c>
      <c r="AC40" s="1392">
        <f ca="1">OFFSET(AC40,0,-1)+1</f>
        <v>9</v>
      </c>
      <c r="AD40" s="1392">
        <f ca="1">OFFSET(AD40,0,-1)+1</f>
        <v>10</v>
      </c>
      <c r="AE40" s="1392">
        <f ca="1">OFFSET(AE40,0,-1)+1</f>
        <v>11</v>
      </c>
      <c r="AF40" s="1392">
        <f ca="1">OFFSET(AF40,0,-1)+1</f>
        <v>12</v>
      </c>
      <c r="AG40" s="2277">
        <f ca="1">OFFSET(AG40,0,-1)+1</f>
        <v>13</v>
      </c>
      <c r="AH40" s="2277"/>
      <c r="AI40" s="1392">
        <f ca="1">OFFSET(AI40,0,-2)+1</f>
        <v>14</v>
      </c>
      <c r="AJ40" s="1154">
        <f ca="1">OFFSET(AJ40,0,-1)</f>
        <v>14</v>
      </c>
      <c r="AK40" s="1392">
        <f ca="1">OFFSET(AK40,0,-1)+1</f>
        <v>15</v>
      </c>
      <c r="AL40" s="437"/>
      <c r="AM40" s="437"/>
      <c r="AN40" s="437"/>
      <c r="AO40" s="437"/>
      <c r="AP40" s="437"/>
    </row>
    <row r="41" spans="1:42" ht="23.25" customHeight="1">
      <c r="A41" s="1279" t="s">
        <v>240</v>
      </c>
      <c r="B41" s="1279"/>
      <c r="C41" s="1279"/>
      <c r="D41" s="1279"/>
      <c r="E41" s="2270">
        <v>1</v>
      </c>
      <c r="F41" s="1279"/>
      <c r="G41" s="1279"/>
      <c r="H41" s="1279"/>
      <c r="I41" s="1279"/>
      <c r="J41" s="1279"/>
      <c r="K41" s="1279"/>
      <c r="L41" s="1280"/>
      <c r="M41" s="1281"/>
      <c r="N41" s="1281"/>
      <c r="O41" s="1281"/>
      <c r="P41" s="286"/>
      <c r="Q41" s="285"/>
      <c r="R41" s="280"/>
      <c r="S41" s="1403">
        <f>INDEX(PT_DIFFERENTIATION_NUM_NTAR,MATCH(A41,PT_DIFFERENTIATION_NTAR_ID,0))</f>
        <v>0</v>
      </c>
      <c r="T41" s="216" t="s">
        <v>122</v>
      </c>
      <c r="U41" s="218"/>
      <c r="V41" s="2256"/>
      <c r="W41" s="2257"/>
      <c r="X41" s="2257"/>
      <c r="Y41" s="2257"/>
      <c r="Z41" s="2257"/>
      <c r="AA41" s="2257"/>
      <c r="AB41" s="2258"/>
      <c r="AC41" s="2256" t="str">
        <f>INDEX(PT_DIFFERENTIATION_NTAR,MATCH(A41,PT_DIFFERENTIATION_NTAR_ID,0))</f>
        <v/>
      </c>
      <c r="AD41" s="2257"/>
      <c r="AE41" s="2257"/>
      <c r="AF41" s="2257"/>
      <c r="AG41" s="2257"/>
      <c r="AH41" s="2257"/>
      <c r="AI41" s="2257"/>
      <c r="AJ41" s="2258"/>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79" t="s">
        <v>240</v>
      </c>
      <c r="B42" s="1279" t="s">
        <v>241</v>
      </c>
      <c r="C42" s="1279"/>
      <c r="D42" s="1279"/>
      <c r="E42" s="2271"/>
      <c r="F42" s="2270">
        <v>1</v>
      </c>
      <c r="G42" s="1279"/>
      <c r="H42" s="1279"/>
      <c r="I42" s="1279"/>
      <c r="J42" s="1279"/>
      <c r="K42" s="1279"/>
      <c r="L42" s="1280"/>
      <c r="M42" s="1281"/>
      <c r="N42" s="1281"/>
      <c r="O42" s="1281"/>
      <c r="P42" s="1397"/>
      <c r="Q42" s="277"/>
      <c r="R42" s="278"/>
      <c r="S42" s="1403" t="str">
        <f>INDEX(PT_DIFFERENTIATION_NUM_TER,MATCH(B42,PT_DIFFERENTIATION_TER_ID,0))</f>
        <v>.</v>
      </c>
      <c r="T42" s="228" t="s">
        <v>388</v>
      </c>
      <c r="U42" s="218"/>
      <c r="V42" s="2256"/>
      <c r="W42" s="2257"/>
      <c r="X42" s="2257"/>
      <c r="Y42" s="2257"/>
      <c r="Z42" s="2257"/>
      <c r="AA42" s="2257"/>
      <c r="AB42" s="2258"/>
      <c r="AC42" s="2256" t="str">
        <f>INDEX(PT_DIFFERENTIATION_TER,MATCH(B42,PT_DIFFERENTIATION_TER_ID,0))</f>
        <v/>
      </c>
      <c r="AD42" s="2257"/>
      <c r="AE42" s="2257"/>
      <c r="AF42" s="2257"/>
      <c r="AG42" s="2257"/>
      <c r="AH42" s="2257"/>
      <c r="AI42" s="2257"/>
      <c r="AJ42" s="2258"/>
      <c r="AK42" s="1177" t="s">
        <v>389</v>
      </c>
      <c r="AM42" s="426"/>
      <c r="AN42" s="426" t="str">
        <f t="shared" si="1"/>
        <v>Территория действия тарифа</v>
      </c>
      <c r="AO42" s="426"/>
      <c r="AP42" s="426"/>
    </row>
    <row r="43" spans="1:42" ht="23.25" customHeight="1">
      <c r="A43" s="1279" t="s">
        <v>240</v>
      </c>
      <c r="B43" s="1279" t="s">
        <v>241</v>
      </c>
      <c r="C43" s="1279" t="s">
        <v>242</v>
      </c>
      <c r="D43" s="1279"/>
      <c r="E43" s="2271"/>
      <c r="F43" s="2271"/>
      <c r="G43" s="2270">
        <v>1</v>
      </c>
      <c r="H43" s="1279"/>
      <c r="I43" s="1279"/>
      <c r="J43" s="1279"/>
      <c r="K43" s="1279"/>
      <c r="L43" s="1280"/>
      <c r="M43" s="1281"/>
      <c r="N43" s="1281"/>
      <c r="O43" s="1281"/>
      <c r="P43" s="279"/>
      <c r="Q43" s="277"/>
      <c r="R43" s="278"/>
      <c r="S43" s="1403" t="str">
        <f>INDEX(PT_DIFFERENTIATION_NUM_CS,MATCH(C43,PT_DIFFERENTIATION_CS_ID,0))</f>
        <v>..</v>
      </c>
      <c r="T43" s="229" t="s">
        <v>520</v>
      </c>
      <c r="U43" s="218"/>
      <c r="V43" s="2256"/>
      <c r="W43" s="2257"/>
      <c r="X43" s="2257"/>
      <c r="Y43" s="2257"/>
      <c r="Z43" s="2257"/>
      <c r="AA43" s="2257"/>
      <c r="AB43" s="2258"/>
      <c r="AC43" s="2256" t="str">
        <f>INDEX(PT_DIFFERENTIATION_CS,MATCH(C43,PT_DIFFERENTIATION_CS_ID,0))</f>
        <v/>
      </c>
      <c r="AD43" s="2257"/>
      <c r="AE43" s="2257"/>
      <c r="AF43" s="2257"/>
      <c r="AG43" s="2257"/>
      <c r="AH43" s="2257"/>
      <c r="AI43" s="2257"/>
      <c r="AJ43" s="2258"/>
      <c r="AK43" s="1177" t="s">
        <v>521</v>
      </c>
      <c r="AM43" s="426"/>
      <c r="AN43" s="426" t="str">
        <f t="shared" si="1"/>
        <v>Наименование централизованной системы горячего водоснабжения</v>
      </c>
      <c r="AO43" s="426"/>
      <c r="AP43" s="426"/>
    </row>
    <row r="44" spans="1:42" ht="23.25" customHeight="1">
      <c r="A44" s="1279" t="s">
        <v>240</v>
      </c>
      <c r="B44" s="1279" t="s">
        <v>241</v>
      </c>
      <c r="C44" s="1279" t="s">
        <v>242</v>
      </c>
      <c r="D44" s="1279" t="s">
        <v>527</v>
      </c>
      <c r="E44" s="2271"/>
      <c r="F44" s="2271"/>
      <c r="G44" s="2271"/>
      <c r="H44" s="2271"/>
      <c r="I44" s="2268" t="str">
        <f>S43&amp;".1"</f>
        <v>...1</v>
      </c>
      <c r="J44" s="1279"/>
      <c r="K44" s="1279"/>
      <c r="L44" s="1280"/>
      <c r="P44" s="2269">
        <v>1</v>
      </c>
      <c r="Q44" s="1391"/>
      <c r="R44" s="281"/>
      <c r="S44" s="1403" t="str">
        <f>$I44</f>
        <v>...1</v>
      </c>
      <c r="T44" s="203" t="s">
        <v>471</v>
      </c>
      <c r="U44" s="218"/>
      <c r="V44" s="2329"/>
      <c r="W44" s="2330"/>
      <c r="X44" s="2330"/>
      <c r="Y44" s="2330"/>
      <c r="Z44" s="2330"/>
      <c r="AA44" s="2330"/>
      <c r="AB44" s="2331"/>
      <c r="AC44" s="2332"/>
      <c r="AD44" s="2333"/>
      <c r="AE44" s="2333"/>
      <c r="AF44" s="2333"/>
      <c r="AG44" s="2333"/>
      <c r="AH44" s="2333"/>
      <c r="AI44" s="2333"/>
      <c r="AJ44" s="2334"/>
      <c r="AK44" s="1177" t="s">
        <v>472</v>
      </c>
      <c r="AM44" s="426"/>
      <c r="AN44" s="426" t="str">
        <f t="shared" si="1"/>
        <v>Наименование признака дифференциации</v>
      </c>
      <c r="AO44" s="426"/>
      <c r="AP44" s="426"/>
    </row>
    <row r="45" spans="1:42" ht="23.25" customHeight="1">
      <c r="A45" s="1279" t="s">
        <v>240</v>
      </c>
      <c r="B45" s="1279" t="s">
        <v>241</v>
      </c>
      <c r="C45" s="1279" t="s">
        <v>242</v>
      </c>
      <c r="D45" s="1279" t="s">
        <v>527</v>
      </c>
      <c r="E45" s="2271"/>
      <c r="F45" s="2271"/>
      <c r="G45" s="2271"/>
      <c r="H45" s="2271"/>
      <c r="I45" s="2291"/>
      <c r="J45" s="2268" t="str">
        <f>I44&amp;".1"</f>
        <v>...1.1</v>
      </c>
      <c r="K45" s="1279"/>
      <c r="L45" s="1280" t="s">
        <v>397</v>
      </c>
      <c r="P45" s="2269"/>
      <c r="Q45" s="2269">
        <v>1</v>
      </c>
      <c r="R45" s="282"/>
      <c r="S45" s="1403" t="str">
        <f>$J45</f>
        <v>...1.1</v>
      </c>
      <c r="T45" s="204" t="s">
        <v>398</v>
      </c>
      <c r="U45" s="218"/>
      <c r="V45" s="2259"/>
      <c r="W45" s="2260"/>
      <c r="X45" s="2260"/>
      <c r="Y45" s="2260"/>
      <c r="Z45" s="2260"/>
      <c r="AA45" s="2260"/>
      <c r="AB45" s="2261"/>
      <c r="AC45" s="2259"/>
      <c r="AD45" s="2260"/>
      <c r="AE45" s="2260"/>
      <c r="AF45" s="2260"/>
      <c r="AG45" s="2260"/>
      <c r="AH45" s="2260"/>
      <c r="AI45" s="2260"/>
      <c r="AJ45" s="2261"/>
      <c r="AK45" s="1226" t="s">
        <v>473</v>
      </c>
      <c r="AM45" s="426"/>
      <c r="AN45" s="426" t="str">
        <f t="shared" si="1"/>
        <v>Группа потребителей</v>
      </c>
      <c r="AO45" s="426"/>
      <c r="AP45" s="426"/>
    </row>
    <row r="46" spans="1:42" ht="23.25" customHeight="1">
      <c r="A46" s="1279" t="s">
        <v>240</v>
      </c>
      <c r="B46" s="1279" t="s">
        <v>241</v>
      </c>
      <c r="C46" s="1279" t="s">
        <v>242</v>
      </c>
      <c r="D46" s="1279" t="s">
        <v>527</v>
      </c>
      <c r="E46" s="2271"/>
      <c r="F46" s="2271"/>
      <c r="G46" s="2271"/>
      <c r="H46" s="2271"/>
      <c r="I46" s="2291"/>
      <c r="J46" s="2291"/>
      <c r="K46" s="2268" t="str">
        <f>J45&amp;".1"</f>
        <v>...1.1.1</v>
      </c>
      <c r="L46" s="1280"/>
      <c r="P46" s="2269"/>
      <c r="Q46" s="2269"/>
      <c r="R46" s="282">
        <v>1</v>
      </c>
      <c r="S46" s="1403" t="str">
        <f>$K46</f>
        <v>...1.1.1</v>
      </c>
      <c r="T46" s="1352"/>
      <c r="U46" s="218"/>
      <c r="V46" s="1276"/>
      <c r="W46" s="1276"/>
      <c r="X46" s="1277"/>
      <c r="Y46" s="2275"/>
      <c r="Z46" s="2276" t="s">
        <v>61</v>
      </c>
      <c r="AA46" s="2275"/>
      <c r="AB46" s="2276" t="s">
        <v>61</v>
      </c>
      <c r="AC46" s="668"/>
      <c r="AD46" s="668"/>
      <c r="AE46" s="1176"/>
      <c r="AF46" s="2273"/>
      <c r="AG46" s="2124" t="s">
        <v>61</v>
      </c>
      <c r="AH46" s="2292"/>
      <c r="AI46" s="2124" t="s">
        <v>56</v>
      </c>
      <c r="AJ46" s="1353"/>
      <c r="AK46"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79" t="s">
        <v>240</v>
      </c>
      <c r="B47" s="1279" t="s">
        <v>241</v>
      </c>
      <c r="C47" s="1279" t="s">
        <v>242</v>
      </c>
      <c r="D47" s="1279" t="s">
        <v>527</v>
      </c>
      <c r="E47" s="2271"/>
      <c r="F47" s="2271"/>
      <c r="G47" s="2271"/>
      <c r="H47" s="2271"/>
      <c r="I47" s="2291"/>
      <c r="J47" s="2291"/>
      <c r="K47" s="2268"/>
      <c r="L47" s="1280"/>
      <c r="P47" s="2269"/>
      <c r="Q47" s="2269"/>
      <c r="R47" s="282"/>
      <c r="S47" s="1400"/>
      <c r="T47" s="218"/>
      <c r="U47" s="218"/>
      <c r="V47" s="1276"/>
      <c r="W47" s="1276"/>
      <c r="X47" s="254" t="str">
        <f>Y46&amp;"-"&amp;AA46</f>
        <v>-</v>
      </c>
      <c r="Y47" s="2276"/>
      <c r="Z47" s="2276"/>
      <c r="AA47" s="2276"/>
      <c r="AB47" s="2276"/>
      <c r="AC47" s="250"/>
      <c r="AD47" s="250"/>
      <c r="AE47" s="254" t="str">
        <f>AF46&amp;"-"&amp;AH46</f>
        <v>-</v>
      </c>
      <c r="AF47" s="2274"/>
      <c r="AG47" s="2124"/>
      <c r="AH47" s="2293"/>
      <c r="AI47" s="2124"/>
      <c r="AJ47" s="1354"/>
      <c r="AK47" s="2328"/>
      <c r="AM47" s="426"/>
      <c r="AN47" s="426" t="str">
        <f t="shared" si="1"/>
        <v/>
      </c>
      <c r="AO47" s="426"/>
      <c r="AP47" s="426"/>
    </row>
    <row r="48" spans="1:42" ht="21" customHeight="1">
      <c r="A48" s="1279" t="s">
        <v>240</v>
      </c>
      <c r="B48" s="1279" t="s">
        <v>241</v>
      </c>
      <c r="C48" s="1279" t="s">
        <v>242</v>
      </c>
      <c r="D48" s="1279" t="s">
        <v>527</v>
      </c>
      <c r="E48" s="2271"/>
      <c r="F48" s="2271"/>
      <c r="G48" s="2271"/>
      <c r="H48" s="2271"/>
      <c r="I48" s="2291"/>
      <c r="J48" s="2268"/>
      <c r="K48" s="1279"/>
      <c r="L48" s="1280"/>
      <c r="P48" s="2269"/>
      <c r="Q48" s="2269"/>
      <c r="R48" s="281"/>
      <c r="S48" s="1198"/>
      <c r="T48" s="205" t="s">
        <v>474</v>
      </c>
      <c r="U48" s="295"/>
      <c r="V48" s="295"/>
      <c r="W48" s="295"/>
      <c r="X48" s="295"/>
      <c r="Y48" s="295"/>
      <c r="Z48" s="295"/>
      <c r="AA48" s="295"/>
      <c r="AB48" s="295"/>
      <c r="AC48" s="295"/>
      <c r="AD48" s="295"/>
      <c r="AE48" s="295"/>
      <c r="AF48" s="295"/>
      <c r="AG48" s="295"/>
      <c r="AH48" s="295"/>
      <c r="AI48" s="295"/>
      <c r="AJ48" s="295"/>
      <c r="AK48" s="1177" t="s">
        <v>475</v>
      </c>
      <c r="AM48" s="426"/>
      <c r="AN48" s="426" t="str">
        <f t="shared" si="1"/>
        <v>Добавить значение признака дифференциации</v>
      </c>
      <c r="AO48" s="426"/>
      <c r="AP48" s="426"/>
    </row>
    <row r="49" spans="1:42" ht="21" customHeight="1">
      <c r="A49" s="1279" t="s">
        <v>240</v>
      </c>
      <c r="B49" s="1279" t="s">
        <v>241</v>
      </c>
      <c r="C49" s="1279" t="s">
        <v>242</v>
      </c>
      <c r="D49" s="1279" t="s">
        <v>527</v>
      </c>
      <c r="E49" s="2271"/>
      <c r="F49" s="2271"/>
      <c r="G49" s="2271"/>
      <c r="H49" s="2271"/>
      <c r="I49" s="2268"/>
      <c r="J49" s="1279"/>
      <c r="K49" s="1279"/>
      <c r="L49" s="1280"/>
      <c r="P49" s="2269"/>
      <c r="Q49" s="1391"/>
      <c r="R49" s="281"/>
      <c r="S49" s="1198"/>
      <c r="T49" s="292" t="s">
        <v>403</v>
      </c>
      <c r="U49" s="295"/>
      <c r="V49" s="295"/>
      <c r="W49" s="295"/>
      <c r="X49" s="295"/>
      <c r="Y49" s="295"/>
      <c r="Z49" s="295"/>
      <c r="AA49" s="295"/>
      <c r="AB49" s="294"/>
      <c r="AC49" s="295"/>
      <c r="AD49" s="295"/>
      <c r="AE49" s="295"/>
      <c r="AF49" s="295"/>
      <c r="AG49" s="295"/>
      <c r="AH49" s="295"/>
      <c r="AI49" s="294"/>
      <c r="AJ49" s="295"/>
      <c r="AK49" s="1355"/>
      <c r="AM49" s="426"/>
      <c r="AN49" s="426" t="str">
        <f t="shared" si="1"/>
        <v>Добавить группу потребителей</v>
      </c>
      <c r="AO49" s="426"/>
      <c r="AP49" s="426"/>
    </row>
    <row r="50" spans="1:42" ht="21" customHeight="1">
      <c r="A50" s="1279" t="s">
        <v>240</v>
      </c>
      <c r="B50" s="1279" t="s">
        <v>241</v>
      </c>
      <c r="C50" s="1279" t="s">
        <v>242</v>
      </c>
      <c r="D50" s="1279" t="s">
        <v>527</v>
      </c>
      <c r="E50" s="2271"/>
      <c r="F50" s="2271"/>
      <c r="G50" s="2271"/>
      <c r="H50" s="2270"/>
      <c r="I50" s="1279"/>
      <c r="J50" s="1279"/>
      <c r="K50" s="1279"/>
      <c r="L50" s="1280"/>
      <c r="M50" s="1281"/>
      <c r="N50" s="1281"/>
      <c r="O50" s="462"/>
      <c r="P50" s="285"/>
      <c r="Q50" s="304"/>
      <c r="R50" s="280"/>
      <c r="S50" s="1198"/>
      <c r="T50" s="300" t="s">
        <v>476</v>
      </c>
      <c r="U50" s="295"/>
      <c r="V50" s="295"/>
      <c r="W50" s="295"/>
      <c r="X50" s="295"/>
      <c r="Y50" s="295"/>
      <c r="Z50" s="295"/>
      <c r="AA50" s="295"/>
      <c r="AB50" s="294"/>
      <c r="AC50" s="295"/>
      <c r="AD50" s="295"/>
      <c r="AE50" s="295"/>
      <c r="AF50" s="295"/>
      <c r="AG50" s="295"/>
      <c r="AH50" s="295"/>
      <c r="AI50" s="294"/>
      <c r="AJ50" s="295"/>
      <c r="AK50" s="221"/>
      <c r="AM50" s="426"/>
      <c r="AN50" s="426" t="str">
        <f t="shared" si="1"/>
        <v>Добавить наименование признака дифференциации</v>
      </c>
      <c r="AO50" s="426"/>
      <c r="AP50" s="426"/>
    </row>
    <row r="51" spans="1:42" s="1930" customFormat="1" ht="0" hidden="1" customHeight="1">
      <c r="A51" s="1260" t="s">
        <v>240</v>
      </c>
      <c r="B51" s="1260" t="s">
        <v>241</v>
      </c>
      <c r="C51" s="1232"/>
      <c r="D51" s="1232"/>
      <c r="E51" s="2271"/>
      <c r="F51" s="2270"/>
      <c r="G51" s="1232"/>
      <c r="H51" s="1232"/>
      <c r="I51" s="1232"/>
      <c r="J51" s="1232"/>
      <c r="K51" s="1232"/>
      <c r="L51" s="1404"/>
      <c r="M51" s="1239"/>
      <c r="N51" s="1239"/>
      <c r="P51" s="1234"/>
      <c r="Q51" s="1235"/>
      <c r="R51" s="1234"/>
      <c r="S51" s="1240"/>
      <c r="T51" s="1243" t="s">
        <v>215</v>
      </c>
      <c r="U51" s="1242"/>
      <c r="V51" s="1242"/>
      <c r="W51" s="1242"/>
      <c r="X51" s="1242"/>
      <c r="Y51" s="1242"/>
      <c r="Z51" s="1242"/>
      <c r="AA51" s="1242"/>
      <c r="AB51" s="1242"/>
      <c r="AC51" s="1242"/>
      <c r="AD51" s="1242"/>
      <c r="AE51" s="1242"/>
      <c r="AF51" s="1242"/>
      <c r="AG51" s="1242"/>
      <c r="AH51" s="1242"/>
      <c r="AI51" s="1242"/>
      <c r="AJ51" s="1242"/>
      <c r="AK51" s="1242"/>
      <c r="AM51" s="706"/>
      <c r="AN51" s="706" t="str">
        <f t="shared" si="1"/>
        <v>Добавить централизованную систему для дифференциации</v>
      </c>
      <c r="AO51" s="706"/>
      <c r="AP51" s="706"/>
    </row>
    <row r="52" spans="1:42" s="1820" customFormat="1" ht="0" hidden="1" customHeight="1">
      <c r="A52" s="1260" t="s">
        <v>240</v>
      </c>
      <c r="B52" s="1260"/>
      <c r="C52" s="1260"/>
      <c r="D52" s="1260"/>
      <c r="E52" s="2270"/>
      <c r="F52" s="1260"/>
      <c r="G52" s="1260"/>
      <c r="H52" s="1260"/>
      <c r="I52" s="1260"/>
      <c r="J52" s="1260"/>
      <c r="K52" s="1260"/>
      <c r="L52" s="1263"/>
      <c r="M52" s="1239"/>
      <c r="N52" s="1239"/>
      <c r="O52" s="444"/>
      <c r="P52" s="313"/>
      <c r="Q52" s="1261"/>
      <c r="R52" s="313"/>
      <c r="S52" s="1240"/>
      <c r="T52" s="1243" t="s">
        <v>216</v>
      </c>
      <c r="U52" s="1242"/>
      <c r="V52" s="1242"/>
      <c r="W52" s="1242"/>
      <c r="X52" s="1242"/>
      <c r="Y52" s="1242"/>
      <c r="Z52" s="1242"/>
      <c r="AA52" s="1242"/>
      <c r="AB52" s="1242"/>
      <c r="AC52" s="1242"/>
      <c r="AD52" s="1242"/>
      <c r="AE52" s="1242"/>
      <c r="AF52" s="1242"/>
      <c r="AG52" s="1242"/>
      <c r="AH52" s="1242"/>
      <c r="AI52" s="1242"/>
      <c r="AJ52" s="1242"/>
      <c r="AK52" s="1242"/>
      <c r="AM52" s="426"/>
      <c r="AN52" s="426" t="str">
        <f t="shared" si="1"/>
        <v>Добавить территорию для дифференциации</v>
      </c>
      <c r="AO52" s="426"/>
      <c r="AP52" s="426"/>
    </row>
    <row r="53" spans="1:42" s="1930" customFormat="1" ht="0" hidden="1" customHeight="1">
      <c r="A53" s="1232"/>
      <c r="B53" s="1232"/>
      <c r="C53" s="1232"/>
      <c r="D53" s="1232"/>
      <c r="E53" s="1260"/>
      <c r="F53" s="1232"/>
      <c r="G53" s="1232"/>
      <c r="H53" s="1232"/>
      <c r="I53" s="1232"/>
      <c r="J53" s="1232"/>
      <c r="K53" s="1232"/>
      <c r="L53" s="1404"/>
      <c r="M53" s="1239"/>
      <c r="N53" s="1239"/>
      <c r="P53" s="1234"/>
      <c r="Q53" s="1235"/>
      <c r="R53" s="1234"/>
      <c r="S53" s="1240"/>
      <c r="T53" s="1243" t="s">
        <v>217</v>
      </c>
      <c r="U53" s="1242"/>
      <c r="V53" s="1242"/>
      <c r="W53" s="1242"/>
      <c r="X53" s="1242"/>
      <c r="Y53" s="1242"/>
      <c r="Z53" s="1242"/>
      <c r="AA53" s="1242"/>
      <c r="AB53" s="1242"/>
      <c r="AC53" s="1242"/>
      <c r="AD53" s="1242"/>
      <c r="AE53" s="1242"/>
      <c r="AF53" s="1242"/>
      <c r="AG53" s="1242"/>
      <c r="AH53" s="1242"/>
      <c r="AI53" s="1242"/>
      <c r="AJ53" s="1242"/>
      <c r="AK53" s="1242"/>
      <c r="AM53" s="706"/>
      <c r="AN53" s="706" t="str">
        <f t="shared" si="1"/>
        <v>Добавить наименование тарифа</v>
      </c>
      <c r="AO53" s="706"/>
      <c r="AP53" s="706"/>
    </row>
    <row r="54" spans="1:42" ht="11.25" customHeight="1">
      <c r="M54" s="1060"/>
      <c r="N54" s="1060"/>
      <c r="O54" s="462"/>
      <c r="P54" s="1055"/>
      <c r="Q54" s="1055"/>
      <c r="R54" s="1055"/>
      <c r="S54" s="1055"/>
      <c r="AL54" s="1055"/>
      <c r="AM54" s="1055"/>
      <c r="AN54" s="1055"/>
      <c r="AO54" s="1055"/>
      <c r="AP54" s="1055"/>
    </row>
    <row r="55" spans="1:42" ht="14.25" customHeight="1">
      <c r="O55" s="462"/>
      <c r="S55" s="1164"/>
      <c r="T55" s="2290"/>
      <c r="U55" s="2290"/>
      <c r="V55" s="2290"/>
      <c r="W55" s="2290"/>
      <c r="X55" s="2290"/>
      <c r="Y55" s="2290"/>
      <c r="Z55" s="2290"/>
      <c r="AA55" s="2290"/>
      <c r="AB55" s="2290"/>
      <c r="AC55" s="2290"/>
      <c r="AD55" s="2290"/>
      <c r="AE55" s="2290"/>
      <c r="AF55" s="2290"/>
      <c r="AG55" s="2290"/>
      <c r="AH55" s="2290"/>
      <c r="AI55" s="2290"/>
      <c r="AJ55" s="2290"/>
      <c r="AK55" s="2290"/>
    </row>
    <row r="56" spans="1:42" ht="14.25" customHeight="1">
      <c r="O56" s="462"/>
    </row>
    <row r="57" spans="1:42" ht="14.25" customHeight="1">
      <c r="O57" s="462"/>
      <c r="S57" s="1164"/>
      <c r="T57" s="2290"/>
      <c r="U57" s="2290"/>
      <c r="V57" s="2290"/>
      <c r="W57" s="2290"/>
      <c r="X57" s="2290"/>
      <c r="Y57" s="2290"/>
      <c r="Z57" s="2290"/>
      <c r="AA57" s="2290"/>
      <c r="AB57" s="2290"/>
      <c r="AC57" s="2290"/>
      <c r="AD57" s="2290"/>
      <c r="AE57" s="2290"/>
      <c r="AF57" s="2290"/>
      <c r="AG57" s="2290"/>
      <c r="AH57" s="2290"/>
      <c r="AI57" s="2290"/>
      <c r="AJ57" s="2290"/>
      <c r="AK57" s="229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23A62-ECE8-5BBA-3907-4205FA792FF5}">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4.140625" style="1931" hidden="1" customWidth="1"/>
    <col min="10" max="10" width="9.85546875" style="1931" hidden="1" customWidth="1"/>
    <col min="11" max="11" width="14.7109375" style="1931" hidden="1" customWidth="1"/>
    <col min="12" max="12" width="19.140625" style="2008" hidden="1" customWidth="1"/>
    <col min="13" max="14" width="12.28515625" style="1933" hidden="1" customWidth="1"/>
    <col min="15" max="15" width="23.42578125" style="1933" hidden="1" customWidth="1"/>
    <col min="16" max="16" width="3.7109375" style="2009" customWidth="1"/>
    <col min="17" max="18" width="3.7109375" style="1939" customWidth="1"/>
    <col min="19" max="19" width="12.7109375" style="1940" customWidth="1"/>
    <col min="20" max="20" width="35.7109375" style="1905" customWidth="1"/>
    <col min="21" max="21" width="0.140625" style="1905" customWidth="1"/>
    <col min="22" max="24" width="24.7109375" style="1905" hidden="1" customWidth="1"/>
    <col min="25" max="25" width="11.7109375" style="1905" hidden="1" customWidth="1"/>
    <col min="26" max="26" width="3.7109375" style="1905" hidden="1" customWidth="1"/>
    <col min="27" max="27" width="11.7109375" style="1905" hidden="1" customWidth="1"/>
    <col min="28" max="28" width="8.5703125" style="1905" hidden="1" customWidth="1"/>
    <col min="29" max="31" width="24.7109375" style="1905" customWidth="1"/>
    <col min="32" max="32" width="11.7109375" style="1905" customWidth="1"/>
    <col min="33" max="33" width="3.7109375" style="1905" customWidth="1"/>
    <col min="34" max="34" width="11.7109375" style="1905" customWidth="1"/>
    <col min="35" max="35" width="8.5703125" style="1905" hidden="1" customWidth="1"/>
    <col min="36" max="36" width="4.7109375" style="1905" customWidth="1"/>
    <col min="37" max="37" width="115.7109375" style="1905" customWidth="1"/>
    <col min="38" max="39" width="10.5703125" style="1820"/>
    <col min="40" max="40" width="11.140625" style="1820" customWidth="1"/>
    <col min="41" max="42" width="10.5703125" style="1820"/>
  </cols>
  <sheetData>
    <row r="1" spans="1:42" ht="14.25" hidden="1" customHeight="1">
      <c r="X1" s="253"/>
      <c r="Y1" s="253"/>
      <c r="AE1" s="253"/>
      <c r="AF1" s="253"/>
    </row>
    <row r="2" spans="1:42" ht="23.25" hidden="1" customHeight="1">
      <c r="A2" s="1279"/>
      <c r="B2" s="1279"/>
      <c r="C2" s="1279"/>
      <c r="D2" s="1279"/>
      <c r="E2" s="2270">
        <v>1</v>
      </c>
      <c r="F2" s="1279"/>
      <c r="G2" s="1279"/>
      <c r="H2" s="1279"/>
      <c r="I2" s="1279"/>
      <c r="J2" s="1279"/>
      <c r="K2" s="1279"/>
      <c r="L2" s="1280"/>
      <c r="M2" s="1281"/>
      <c r="N2" s="1281"/>
      <c r="O2" s="1281"/>
      <c r="P2" s="286"/>
      <c r="Q2" s="285"/>
      <c r="R2" s="280"/>
      <c r="S2" s="1403" t="e">
        <f>INDEX(PT_DIFFERENTIATION_NUM_NTAR,MATCH(A2,PT_DIFFERENTIATION_NTAR_ID,0))</f>
        <v>#N/A</v>
      </c>
      <c r="T2" s="216" t="s">
        <v>122</v>
      </c>
      <c r="U2" s="218"/>
      <c r="V2" s="2256"/>
      <c r="W2" s="2257"/>
      <c r="X2" s="2257"/>
      <c r="Y2" s="2257"/>
      <c r="Z2" s="2257"/>
      <c r="AA2" s="2257"/>
      <c r="AB2" s="2258"/>
      <c r="AC2" s="2256" t="e">
        <f>INDEX(PT_DIFFERENTIATION_NTAR,MATCH(A2,PT_DIFFERENTIATION_NTAR_ID,0))</f>
        <v>#N/A</v>
      </c>
      <c r="AD2" s="2257"/>
      <c r="AE2" s="2257"/>
      <c r="AF2" s="2257"/>
      <c r="AG2" s="2257"/>
      <c r="AH2" s="2257"/>
      <c r="AI2" s="2257"/>
      <c r="AJ2" s="2258"/>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79"/>
      <c r="B3" s="1279"/>
      <c r="C3" s="1279"/>
      <c r="D3" s="1279"/>
      <c r="E3" s="2271"/>
      <c r="F3" s="2270">
        <v>1</v>
      </c>
      <c r="G3" s="1279"/>
      <c r="H3" s="1279"/>
      <c r="I3" s="1279"/>
      <c r="J3" s="1279"/>
      <c r="K3" s="1279"/>
      <c r="L3" s="1280"/>
      <c r="M3" s="1281"/>
      <c r="N3" s="1281"/>
      <c r="O3" s="1281"/>
      <c r="P3" s="1397"/>
      <c r="Q3" s="277"/>
      <c r="R3" s="278"/>
      <c r="S3" s="1403" t="e">
        <f>INDEX(PT_DIFFERENTIATION_NUM_TER,MATCH(B3,PT_DIFFERENTIATION_TER_ID,0))</f>
        <v>#N/A</v>
      </c>
      <c r="T3" s="228" t="s">
        <v>388</v>
      </c>
      <c r="U3" s="218"/>
      <c r="V3" s="2256"/>
      <c r="W3" s="2257"/>
      <c r="X3" s="2257"/>
      <c r="Y3" s="2257"/>
      <c r="Z3" s="2257"/>
      <c r="AA3" s="2257"/>
      <c r="AB3" s="2258"/>
      <c r="AC3" s="2256" t="e">
        <f>INDEX(PT_DIFFERENTIATION_TER,MATCH(B3,PT_DIFFERENTIATION_TER_ID,0))</f>
        <v>#N/A</v>
      </c>
      <c r="AD3" s="2257"/>
      <c r="AE3" s="2257"/>
      <c r="AF3" s="2257"/>
      <c r="AG3" s="2257"/>
      <c r="AH3" s="2257"/>
      <c r="AI3" s="2257"/>
      <c r="AJ3" s="2258"/>
      <c r="AK3" s="1177" t="s">
        <v>389</v>
      </c>
      <c r="AM3" s="426"/>
      <c r="AN3" s="426" t="str">
        <f t="shared" si="0"/>
        <v>Территория действия тарифа</v>
      </c>
      <c r="AO3" s="426"/>
      <c r="AP3" s="426"/>
    </row>
    <row r="4" spans="1:42" ht="23.25" hidden="1" customHeight="1">
      <c r="A4" s="1279"/>
      <c r="B4" s="1279"/>
      <c r="C4" s="1279"/>
      <c r="D4" s="1279"/>
      <c r="E4" s="2271"/>
      <c r="F4" s="2271"/>
      <c r="G4" s="2270">
        <v>1</v>
      </c>
      <c r="H4" s="1279"/>
      <c r="I4" s="1279"/>
      <c r="J4" s="1279"/>
      <c r="K4" s="1279"/>
      <c r="L4" s="1280"/>
      <c r="M4" s="1281"/>
      <c r="N4" s="1281"/>
      <c r="O4" s="1281"/>
      <c r="P4" s="279"/>
      <c r="Q4" s="277"/>
      <c r="R4" s="278"/>
      <c r="S4" s="1403" t="e">
        <f>INDEX(PT_DIFFERENTIATION_NUM_CS,MATCH(C4,PT_DIFFERENTIATION_CS_ID,0))</f>
        <v>#N/A</v>
      </c>
      <c r="T4" s="229" t="s">
        <v>520</v>
      </c>
      <c r="U4" s="218"/>
      <c r="V4" s="2256"/>
      <c r="W4" s="2257"/>
      <c r="X4" s="2257"/>
      <c r="Y4" s="2257"/>
      <c r="Z4" s="2257"/>
      <c r="AA4" s="2257"/>
      <c r="AB4" s="2258"/>
      <c r="AC4" s="2256" t="e">
        <f>INDEX(PT_DIFFERENTIATION_CS,MATCH(C4,PT_DIFFERENTIATION_CS_ID,0))</f>
        <v>#N/A</v>
      </c>
      <c r="AD4" s="2257"/>
      <c r="AE4" s="2257"/>
      <c r="AF4" s="2257"/>
      <c r="AG4" s="2257"/>
      <c r="AH4" s="2257"/>
      <c r="AI4" s="2257"/>
      <c r="AJ4" s="2258"/>
      <c r="AK4" s="1177" t="s">
        <v>521</v>
      </c>
      <c r="AM4" s="426"/>
      <c r="AN4" s="426" t="str">
        <f t="shared" si="0"/>
        <v>Наименование централизованной системы горячего водоснабжения</v>
      </c>
      <c r="AO4" s="426"/>
      <c r="AP4" s="426"/>
    </row>
    <row r="5" spans="1:42" ht="23.25" hidden="1" customHeight="1">
      <c r="A5" s="1279"/>
      <c r="B5" s="1279"/>
      <c r="C5" s="1279"/>
      <c r="D5" s="1279"/>
      <c r="E5" s="2271"/>
      <c r="F5" s="2271"/>
      <c r="G5" s="2271"/>
      <c r="H5" s="2271"/>
      <c r="I5" s="2268" t="e">
        <f>S4&amp;".1"</f>
        <v>#N/A</v>
      </c>
      <c r="J5" s="1279"/>
      <c r="K5" s="1279"/>
      <c r="L5" s="1280"/>
      <c r="P5" s="2269">
        <v>1</v>
      </c>
      <c r="Q5" s="1391"/>
      <c r="R5" s="281"/>
      <c r="S5" s="1403" t="e">
        <f>$I5</f>
        <v>#N/A</v>
      </c>
      <c r="T5" s="203" t="s">
        <v>471</v>
      </c>
      <c r="U5" s="218"/>
      <c r="V5" s="2329"/>
      <c r="W5" s="2330"/>
      <c r="X5" s="2330"/>
      <c r="Y5" s="2330"/>
      <c r="Z5" s="2330"/>
      <c r="AA5" s="2330"/>
      <c r="AB5" s="2331"/>
      <c r="AC5" s="2332"/>
      <c r="AD5" s="2333"/>
      <c r="AE5" s="2333"/>
      <c r="AF5" s="2333"/>
      <c r="AG5" s="2333"/>
      <c r="AH5" s="2333"/>
      <c r="AI5" s="2333"/>
      <c r="AJ5" s="2334"/>
      <c r="AK5" s="1177" t="s">
        <v>472</v>
      </c>
      <c r="AM5" s="426"/>
      <c r="AN5" s="426" t="str">
        <f t="shared" si="0"/>
        <v>Наименование признака дифференциации</v>
      </c>
      <c r="AO5" s="426"/>
      <c r="AP5" s="426"/>
    </row>
    <row r="6" spans="1:42" ht="23.25" hidden="1" customHeight="1">
      <c r="A6" s="1279"/>
      <c r="B6" s="1279"/>
      <c r="C6" s="1279"/>
      <c r="D6" s="1279"/>
      <c r="E6" s="2271"/>
      <c r="F6" s="2271"/>
      <c r="G6" s="2271"/>
      <c r="H6" s="2271"/>
      <c r="I6" s="2291"/>
      <c r="J6" s="2268" t="e">
        <f>I5&amp;".1"</f>
        <v>#N/A</v>
      </c>
      <c r="K6" s="1279"/>
      <c r="L6" s="1280" t="s">
        <v>397</v>
      </c>
      <c r="P6" s="2269"/>
      <c r="Q6" s="2269">
        <v>1</v>
      </c>
      <c r="R6" s="282"/>
      <c r="S6" s="1403" t="e">
        <f>$J6</f>
        <v>#N/A</v>
      </c>
      <c r="T6" s="204" t="s">
        <v>398</v>
      </c>
      <c r="U6" s="218"/>
      <c r="V6" s="2259"/>
      <c r="W6" s="2260"/>
      <c r="X6" s="2260"/>
      <c r="Y6" s="2260"/>
      <c r="Z6" s="2260"/>
      <c r="AA6" s="2260"/>
      <c r="AB6" s="2261"/>
      <c r="AC6" s="2259"/>
      <c r="AD6" s="2260"/>
      <c r="AE6" s="2260"/>
      <c r="AF6" s="2260"/>
      <c r="AG6" s="2260"/>
      <c r="AH6" s="2260"/>
      <c r="AI6" s="2260"/>
      <c r="AJ6" s="2261"/>
      <c r="AK6" s="1226" t="s">
        <v>473</v>
      </c>
      <c r="AM6" s="426"/>
      <c r="AN6" s="426" t="str">
        <f t="shared" si="0"/>
        <v>Группа потребителей</v>
      </c>
      <c r="AO6" s="426"/>
      <c r="AP6" s="426"/>
    </row>
    <row r="7" spans="1:42" ht="23.25" hidden="1" customHeight="1">
      <c r="A7" s="1279"/>
      <c r="B7" s="1279"/>
      <c r="C7" s="1279"/>
      <c r="D7" s="1279"/>
      <c r="E7" s="2271"/>
      <c r="F7" s="2271"/>
      <c r="G7" s="2271"/>
      <c r="H7" s="2271"/>
      <c r="I7" s="2291"/>
      <c r="J7" s="2291"/>
      <c r="K7" s="2268" t="e">
        <f>J6&amp;".1"</f>
        <v>#N/A</v>
      </c>
      <c r="L7" s="1280"/>
      <c r="P7" s="2269"/>
      <c r="Q7" s="2269"/>
      <c r="R7" s="282">
        <v>1</v>
      </c>
      <c r="S7" s="1403" t="e">
        <f>$K7</f>
        <v>#N/A</v>
      </c>
      <c r="T7" s="1352"/>
      <c r="U7" s="218"/>
      <c r="V7" s="668"/>
      <c r="W7" s="668"/>
      <c r="X7" s="1176"/>
      <c r="Y7" s="2273"/>
      <c r="Z7" s="2124" t="s">
        <v>61</v>
      </c>
      <c r="AA7" s="2273"/>
      <c r="AB7" s="2124" t="s">
        <v>61</v>
      </c>
      <c r="AC7" s="668"/>
      <c r="AD7" s="668"/>
      <c r="AE7" s="1176"/>
      <c r="AF7" s="2273"/>
      <c r="AG7" s="2124" t="s">
        <v>61</v>
      </c>
      <c r="AH7" s="2292"/>
      <c r="AI7" s="2124" t="s">
        <v>61</v>
      </c>
      <c r="AJ7" s="1353"/>
      <c r="AK7"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79"/>
      <c r="B8" s="1279"/>
      <c r="C8" s="1279"/>
      <c r="D8" s="1279"/>
      <c r="E8" s="2271"/>
      <c r="F8" s="2271"/>
      <c r="G8" s="2271"/>
      <c r="H8" s="2271"/>
      <c r="I8" s="2291"/>
      <c r="J8" s="2291"/>
      <c r="K8" s="2268"/>
      <c r="L8" s="1280"/>
      <c r="P8" s="2269"/>
      <c r="Q8" s="2269"/>
      <c r="R8" s="282"/>
      <c r="S8" s="1400"/>
      <c r="T8" s="218"/>
      <c r="U8" s="218"/>
      <c r="V8" s="250"/>
      <c r="W8" s="250"/>
      <c r="X8" s="254" t="str">
        <f>Y7&amp;"-"&amp;AA7</f>
        <v>-</v>
      </c>
      <c r="Y8" s="2274"/>
      <c r="Z8" s="2124"/>
      <c r="AA8" s="2274"/>
      <c r="AB8" s="2124"/>
      <c r="AC8" s="250"/>
      <c r="AD8" s="250"/>
      <c r="AE8" s="254" t="str">
        <f>AF7&amp;"-"&amp;AH7</f>
        <v>-</v>
      </c>
      <c r="AF8" s="2274"/>
      <c r="AG8" s="2124"/>
      <c r="AH8" s="2293"/>
      <c r="AI8" s="2124"/>
      <c r="AJ8" s="1354"/>
      <c r="AK8" s="2328"/>
      <c r="AM8" s="426"/>
      <c r="AN8" s="426" t="str">
        <f t="shared" si="0"/>
        <v/>
      </c>
      <c r="AO8" s="426"/>
      <c r="AP8" s="426"/>
    </row>
    <row r="9" spans="1:42" ht="21" hidden="1" customHeight="1">
      <c r="A9" s="1279"/>
      <c r="B9" s="1279"/>
      <c r="C9" s="1279"/>
      <c r="D9" s="1279"/>
      <c r="E9" s="2271"/>
      <c r="F9" s="2271"/>
      <c r="G9" s="2271"/>
      <c r="H9" s="2271"/>
      <c r="I9" s="2291"/>
      <c r="J9" s="2268"/>
      <c r="K9" s="1279"/>
      <c r="L9" s="1280"/>
      <c r="P9" s="2269"/>
      <c r="Q9" s="2269"/>
      <c r="R9" s="281"/>
      <c r="S9" s="1198"/>
      <c r="T9" s="205" t="s">
        <v>474</v>
      </c>
      <c r="U9" s="295"/>
      <c r="V9" s="295"/>
      <c r="W9" s="295"/>
      <c r="X9" s="295"/>
      <c r="Y9" s="295"/>
      <c r="Z9" s="295"/>
      <c r="AA9" s="295"/>
      <c r="AB9" s="295"/>
      <c r="AC9" s="295"/>
      <c r="AD9" s="295"/>
      <c r="AE9" s="295"/>
      <c r="AF9" s="295"/>
      <c r="AG9" s="295"/>
      <c r="AH9" s="295"/>
      <c r="AI9" s="295"/>
      <c r="AJ9" s="295"/>
      <c r="AK9" s="1177" t="s">
        <v>475</v>
      </c>
      <c r="AM9" s="426"/>
      <c r="AN9" s="426" t="str">
        <f t="shared" si="0"/>
        <v>Добавить значение признака дифференциации</v>
      </c>
      <c r="AO9" s="426"/>
      <c r="AP9" s="426"/>
    </row>
    <row r="10" spans="1:42" ht="21" hidden="1" customHeight="1">
      <c r="A10" s="1279"/>
      <c r="B10" s="1279"/>
      <c r="C10" s="1279"/>
      <c r="D10" s="1279"/>
      <c r="E10" s="2271"/>
      <c r="F10" s="2271"/>
      <c r="G10" s="2271"/>
      <c r="H10" s="2271"/>
      <c r="I10" s="2268"/>
      <c r="J10" s="1279"/>
      <c r="K10" s="1279"/>
      <c r="L10" s="1280"/>
      <c r="P10" s="2269"/>
      <c r="Q10" s="1391"/>
      <c r="R10" s="281"/>
      <c r="S10" s="1198"/>
      <c r="T10" s="292" t="s">
        <v>403</v>
      </c>
      <c r="U10" s="295"/>
      <c r="V10" s="295"/>
      <c r="W10" s="295"/>
      <c r="X10" s="295"/>
      <c r="Y10" s="295"/>
      <c r="Z10" s="295"/>
      <c r="AA10" s="295"/>
      <c r="AB10" s="294"/>
      <c r="AC10" s="295"/>
      <c r="AD10" s="295"/>
      <c r="AE10" s="295"/>
      <c r="AF10" s="295"/>
      <c r="AG10" s="295"/>
      <c r="AH10" s="295"/>
      <c r="AI10" s="294"/>
      <c r="AJ10" s="295"/>
      <c r="AK10" s="1355"/>
      <c r="AM10" s="426"/>
      <c r="AN10" s="426" t="str">
        <f t="shared" si="0"/>
        <v>Добавить группу потребителей</v>
      </c>
      <c r="AO10" s="426"/>
      <c r="AP10" s="426"/>
    </row>
    <row r="11" spans="1:42" ht="21" hidden="1" customHeight="1">
      <c r="A11" s="1279"/>
      <c r="B11" s="1279"/>
      <c r="C11" s="1279"/>
      <c r="D11" s="1279"/>
      <c r="E11" s="2271"/>
      <c r="F11" s="2271"/>
      <c r="G11" s="2271"/>
      <c r="H11" s="2270"/>
      <c r="I11" s="1279"/>
      <c r="J11" s="1279"/>
      <c r="K11" s="1279"/>
      <c r="L11" s="1280"/>
      <c r="M11" s="1281"/>
      <c r="N11" s="1281"/>
      <c r="O11" s="462"/>
      <c r="P11" s="285"/>
      <c r="Q11" s="304"/>
      <c r="R11" s="280"/>
      <c r="S11" s="1198"/>
      <c r="T11" s="300" t="s">
        <v>476</v>
      </c>
      <c r="U11" s="295"/>
      <c r="V11" s="295"/>
      <c r="W11" s="295"/>
      <c r="X11" s="295"/>
      <c r="Y11" s="295"/>
      <c r="Z11" s="295"/>
      <c r="AA11" s="295"/>
      <c r="AB11" s="294"/>
      <c r="AC11" s="295"/>
      <c r="AD11" s="295"/>
      <c r="AE11" s="295"/>
      <c r="AF11" s="295"/>
      <c r="AG11" s="295"/>
      <c r="AH11" s="295"/>
      <c r="AI11" s="294"/>
      <c r="AJ11" s="295"/>
      <c r="AK11" s="221"/>
      <c r="AM11" s="426"/>
      <c r="AN11" s="426" t="str">
        <f t="shared" si="0"/>
        <v>Добавить наименование признака дифференциации</v>
      </c>
      <c r="AO11" s="426"/>
      <c r="AP11" s="426"/>
    </row>
    <row r="12" spans="1:42" s="1930" customFormat="1" ht="14.25" hidden="1" customHeight="1">
      <c r="A12" s="1260"/>
      <c r="B12" s="1260"/>
      <c r="C12" s="1232"/>
      <c r="D12" s="1232"/>
      <c r="E12" s="2271"/>
      <c r="F12" s="2270"/>
      <c r="G12" s="1232"/>
      <c r="H12" s="1232"/>
      <c r="I12" s="1232"/>
      <c r="J12" s="1232"/>
      <c r="K12" s="1232"/>
      <c r="L12" s="1404"/>
      <c r="M12" s="1239"/>
      <c r="N12" s="1239"/>
      <c r="P12" s="1234"/>
      <c r="Q12" s="1235"/>
      <c r="R12" s="1234"/>
      <c r="S12" s="1240"/>
      <c r="T12" s="1243" t="s">
        <v>215</v>
      </c>
      <c r="U12" s="1242"/>
      <c r="V12" s="1242"/>
      <c r="W12" s="1242"/>
      <c r="X12" s="1242"/>
      <c r="Y12" s="1242"/>
      <c r="Z12" s="1242"/>
      <c r="AA12" s="1242"/>
      <c r="AB12" s="1242"/>
      <c r="AC12" s="1242"/>
      <c r="AD12" s="1242"/>
      <c r="AE12" s="1242"/>
      <c r="AF12" s="1242"/>
      <c r="AG12" s="1242"/>
      <c r="AH12" s="1242"/>
      <c r="AI12" s="1242"/>
      <c r="AJ12" s="1242"/>
      <c r="AK12" s="1242"/>
      <c r="AM12" s="706"/>
      <c r="AN12" s="706" t="str">
        <f t="shared" si="0"/>
        <v>Добавить централизованную систему для дифференциации</v>
      </c>
      <c r="AO12" s="706"/>
      <c r="AP12" s="706"/>
    </row>
    <row r="13" spans="1:42" s="1820" customFormat="1" ht="14.25" hidden="1" customHeight="1">
      <c r="A13" s="1260"/>
      <c r="B13" s="1260"/>
      <c r="C13" s="1260"/>
      <c r="D13" s="1260"/>
      <c r="E13" s="2270"/>
      <c r="F13" s="1260"/>
      <c r="G13" s="1260"/>
      <c r="H13" s="1260"/>
      <c r="I13" s="1260"/>
      <c r="J13" s="1260"/>
      <c r="K13" s="1260"/>
      <c r="L13" s="1263"/>
      <c r="M13" s="1239"/>
      <c r="N13" s="1239"/>
      <c r="O13" s="444"/>
      <c r="P13" s="313"/>
      <c r="Q13" s="1261"/>
      <c r="R13" s="313"/>
      <c r="S13" s="1240"/>
      <c r="T13" s="1243" t="s">
        <v>216</v>
      </c>
      <c r="U13" s="1242"/>
      <c r="V13" s="1242"/>
      <c r="W13" s="1242"/>
      <c r="X13" s="1242"/>
      <c r="Y13" s="1242"/>
      <c r="Z13" s="1242"/>
      <c r="AA13" s="1242"/>
      <c r="AB13" s="1242"/>
      <c r="AC13" s="1242"/>
      <c r="AD13" s="1242"/>
      <c r="AE13" s="1242"/>
      <c r="AF13" s="1242"/>
      <c r="AG13" s="1242"/>
      <c r="AH13" s="1242"/>
      <c r="AI13" s="1242"/>
      <c r="AJ13" s="1242"/>
      <c r="AK13" s="1242"/>
      <c r="AM13" s="426"/>
      <c r="AN13" s="426" t="str">
        <f t="shared" si="0"/>
        <v>Добавить территорию для дифференциации</v>
      </c>
      <c r="AO13" s="426"/>
      <c r="AP13" s="426"/>
    </row>
    <row r="14" spans="1:42" ht="14.25" hidden="1" customHeight="1">
      <c r="AB14" s="253"/>
      <c r="AI14" s="253"/>
    </row>
    <row r="15" spans="1:42" ht="14.25" hidden="1" customHeight="1">
      <c r="AC15" s="1276"/>
      <c r="AD15" s="1276"/>
      <c r="AE15" s="1277"/>
      <c r="AF15" s="2275"/>
      <c r="AG15" s="2276" t="s">
        <v>61</v>
      </c>
      <c r="AH15" s="2275"/>
      <c r="AI15" s="2276" t="s">
        <v>61</v>
      </c>
    </row>
    <row r="16" spans="1:42" ht="14.25" hidden="1" customHeight="1">
      <c r="AC16" s="1276"/>
      <c r="AD16" s="1276"/>
      <c r="AE16" s="254" t="str">
        <f>AF15&amp;"-"&amp;AH15</f>
        <v>-</v>
      </c>
      <c r="AF16" s="2276"/>
      <c r="AG16" s="2276"/>
      <c r="AH16" s="2276"/>
      <c r="AI16" s="2276"/>
    </row>
    <row r="17" spans="1:42" ht="14.25" hidden="1" customHeight="1">
      <c r="AI17" s="253"/>
    </row>
    <row r="18" spans="1:42" s="1931" customFormat="1" ht="22.5" hidden="1" customHeight="1">
      <c r="L18" s="1388"/>
      <c r="M18" s="1278"/>
      <c r="N18" s="1278"/>
      <c r="O18" s="1283" t="s">
        <v>406</v>
      </c>
      <c r="P18" s="1278"/>
      <c r="Q18" s="1287"/>
      <c r="R18" s="1287"/>
      <c r="S18" s="648"/>
      <c r="Y18" s="1283"/>
      <c r="AA18" s="1283"/>
      <c r="AB18" s="1282"/>
      <c r="AF18" s="1283"/>
      <c r="AH18" s="1283"/>
      <c r="AI18" s="1282"/>
      <c r="AL18" s="437"/>
      <c r="AM18" s="437"/>
      <c r="AN18" s="437"/>
      <c r="AO18" s="437"/>
      <c r="AP18" s="437"/>
    </row>
    <row r="19" spans="1:42" s="1931" customFormat="1" ht="14.25" hidden="1" customHeight="1">
      <c r="L19" s="1388"/>
      <c r="M19" s="1278"/>
      <c r="N19" s="1278"/>
      <c r="O19" s="1278"/>
      <c r="P19" s="1278"/>
      <c r="Q19" s="1287"/>
      <c r="R19" s="1287"/>
      <c r="S19" s="648"/>
      <c r="AB19" s="1282"/>
      <c r="AI19" s="1282"/>
      <c r="AL19" s="437"/>
      <c r="AM19" s="437"/>
      <c r="AN19" s="437"/>
      <c r="AO19" s="437"/>
      <c r="AP19" s="437"/>
    </row>
    <row r="20" spans="1:42" s="1931" customFormat="1" ht="12" hidden="1" customHeight="1">
      <c r="L20" s="1388"/>
      <c r="M20" s="1278"/>
      <c r="N20" s="1278"/>
      <c r="O20" s="1280" t="s">
        <v>407</v>
      </c>
      <c r="P20" s="1278"/>
      <c r="Q20" s="1356"/>
      <c r="R20" s="1356"/>
      <c r="S20" s="648"/>
      <c r="T20" s="1060" t="s">
        <v>408</v>
      </c>
      <c r="Z20" s="107" t="s">
        <v>409</v>
      </c>
      <c r="AB20" s="107" t="s">
        <v>410</v>
      </c>
      <c r="AC20" s="1060" t="s">
        <v>408</v>
      </c>
      <c r="AG20" s="107" t="s">
        <v>411</v>
      </c>
      <c r="AI20" s="107" t="s">
        <v>410</v>
      </c>
    </row>
    <row r="21" spans="1:42" ht="14.25" hidden="1" customHeight="1">
      <c r="O21" s="1280"/>
    </row>
    <row r="22" spans="1:42" ht="14.25" hidden="1" customHeight="1">
      <c r="O22" s="1280"/>
    </row>
    <row r="23" spans="1:42" ht="14.25" customHeight="1">
      <c r="Q23" s="305"/>
      <c r="R23" s="305"/>
      <c r="S23" s="1195"/>
      <c r="T23" s="290"/>
      <c r="U23" s="290"/>
      <c r="V23" s="435"/>
      <c r="W23" s="435"/>
      <c r="X23" s="435"/>
      <c r="Y23" s="435"/>
      <c r="Z23" s="435"/>
      <c r="AA23" s="435"/>
      <c r="AB23" s="435"/>
      <c r="AC23" s="435"/>
      <c r="AD23" s="435"/>
      <c r="AE23" s="435"/>
      <c r="AF23" s="435"/>
      <c r="AG23" s="435"/>
      <c r="AH23" s="435"/>
      <c r="AI23" s="435"/>
    </row>
    <row r="24" spans="1:42" ht="26.25" customHeight="1">
      <c r="Q24" s="305"/>
      <c r="R24" s="305"/>
      <c r="S24" s="225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4"/>
      <c r="U24" s="2254"/>
      <c r="V24" s="2254"/>
      <c r="W24" s="2254"/>
      <c r="X24" s="2254"/>
      <c r="Y24" s="2254"/>
      <c r="Z24" s="2254"/>
      <c r="AA24" s="2254"/>
      <c r="AB24" s="2254"/>
      <c r="AC24" s="2254"/>
      <c r="AD24" s="2254"/>
      <c r="AE24" s="2254"/>
      <c r="AF24" s="2254"/>
      <c r="AG24" s="2254"/>
      <c r="AH24" s="2254"/>
      <c r="AI24" s="1152"/>
    </row>
    <row r="25" spans="1:42" ht="14.25" customHeight="1">
      <c r="Q25" s="305"/>
      <c r="R25" s="305"/>
      <c r="S25" s="2200" t="str">
        <f>IF(org=0,"Не определено",org)</f>
        <v>ПАО "Юнипро"</v>
      </c>
      <c r="T25" s="2200"/>
      <c r="U25" s="2200"/>
      <c r="V25" s="2200"/>
      <c r="W25" s="2200"/>
      <c r="X25" s="2200"/>
      <c r="Y25" s="2200"/>
      <c r="Z25" s="2200"/>
      <c r="AA25" s="2200"/>
      <c r="AB25" s="2200"/>
      <c r="AC25" s="2200"/>
      <c r="AD25" s="2200"/>
      <c r="AE25" s="2200"/>
      <c r="AF25" s="2200"/>
      <c r="AG25" s="2200"/>
      <c r="AH25" s="2200"/>
      <c r="AI25" s="1152"/>
    </row>
    <row r="26" spans="1:42" ht="14.25" customHeight="1">
      <c r="Q26" s="305"/>
      <c r="R26" s="305"/>
      <c r="S26" s="1195"/>
      <c r="T26" s="290"/>
      <c r="U26" s="290"/>
      <c r="V26" s="246"/>
      <c r="W26" s="246"/>
      <c r="X26" s="246"/>
      <c r="Y26" s="246"/>
      <c r="Z26" s="246"/>
      <c r="AA26" s="246"/>
      <c r="AB26" s="246"/>
      <c r="AC26" s="246"/>
      <c r="AD26" s="246"/>
      <c r="AE26" s="246"/>
      <c r="AF26" s="246"/>
      <c r="AG26" s="246"/>
      <c r="AH26" s="246"/>
      <c r="AI26" s="246"/>
      <c r="AJ26" s="435"/>
    </row>
    <row r="27" spans="1:42" s="1936" customFormat="1" ht="25.5" customHeight="1">
      <c r="A27" s="1284"/>
      <c r="B27" s="1284"/>
      <c r="C27" s="1284"/>
      <c r="D27" s="1284"/>
      <c r="E27" s="1284"/>
      <c r="F27" s="1284"/>
      <c r="G27" s="1284"/>
      <c r="H27" s="1284"/>
      <c r="I27" s="1284"/>
      <c r="J27" s="1284"/>
      <c r="K27" s="1284"/>
      <c r="L27" s="1285"/>
      <c r="M27" s="1284"/>
      <c r="N27" s="1284"/>
      <c r="O27" s="1284"/>
      <c r="S27" s="2262" t="s">
        <v>38</v>
      </c>
      <c r="T27" s="2262"/>
      <c r="U27" s="1288"/>
      <c r="V27" s="2263" t="str">
        <f>IF(TITLE_NAME_OR_PR_CHANGE="",IF(TITLE_NAME_OR_PR="","",TITLE_NAME_OR_PR),TITLE_NAME_OR_PR_CHANGE)</f>
        <v>Министерство тарифной политики Красноярского края</v>
      </c>
      <c r="W27" s="2263"/>
      <c r="X27" s="2263"/>
      <c r="Y27" s="2263"/>
      <c r="Z27" s="2263"/>
      <c r="AA27" s="2263"/>
      <c r="AB27" s="252"/>
      <c r="AC27" s="2263" t="str">
        <f>IF(TITLE_NAME_OR_PR_CHANGE="",IF(TITLE_NAME_OR_PR="","",TITLE_NAME_OR_PR),TITLE_NAME_OR_PR_CHANGE)</f>
        <v>Министерство тарифной политики Красноярского края</v>
      </c>
      <c r="AD27" s="2263"/>
      <c r="AE27" s="2263"/>
      <c r="AF27" s="2263"/>
      <c r="AG27" s="2263"/>
      <c r="AH27" s="2263"/>
      <c r="AI27" s="252"/>
      <c r="AJ27" s="252"/>
      <c r="AK27" s="199"/>
      <c r="AL27" s="296"/>
      <c r="AM27" s="296"/>
      <c r="AN27" s="296"/>
      <c r="AO27" s="296"/>
      <c r="AP27" s="296"/>
    </row>
    <row r="28" spans="1:42" s="1936" customFormat="1" ht="18.75" customHeight="1">
      <c r="A28" s="1284"/>
      <c r="B28" s="1284"/>
      <c r="C28" s="1284"/>
      <c r="D28" s="1284"/>
      <c r="E28" s="1284"/>
      <c r="F28" s="1284"/>
      <c r="G28" s="1284"/>
      <c r="H28" s="1284"/>
      <c r="I28" s="1284"/>
      <c r="J28" s="1284"/>
      <c r="K28" s="1284"/>
      <c r="L28" s="1285"/>
      <c r="M28" s="1284"/>
      <c r="N28" s="1284"/>
      <c r="O28" s="1284"/>
      <c r="S28" s="2262" t="s">
        <v>412</v>
      </c>
      <c r="T28" s="2262"/>
      <c r="U28" s="1288"/>
      <c r="V28" s="2272">
        <f>IF(TITLE_DATE_PR_CHANGE="",IF(TITLE_DATE_PR="","",TITLE_DATE_PR),TITLE_DATE_PR_CHANGE)</f>
        <v>45278.357847222222</v>
      </c>
      <c r="W28" s="2272"/>
      <c r="X28" s="2272"/>
      <c r="Y28" s="2272"/>
      <c r="Z28" s="2272"/>
      <c r="AA28" s="2272"/>
      <c r="AB28" s="252"/>
      <c r="AC28" s="2272">
        <f>IF(TITLE_DATE_PR_CHANGE="",IF(TITLE_DATE_PR="","",TITLE_DATE_PR),TITLE_DATE_PR_CHANGE)</f>
        <v>45278.357847222222</v>
      </c>
      <c r="AD28" s="2272"/>
      <c r="AE28" s="2272"/>
      <c r="AF28" s="2272"/>
      <c r="AG28" s="2272"/>
      <c r="AH28" s="2272"/>
      <c r="AI28" s="252"/>
      <c r="AJ28" s="252"/>
      <c r="AK28" s="199"/>
      <c r="AL28" s="296"/>
      <c r="AM28" s="296"/>
      <c r="AN28" s="296"/>
      <c r="AO28" s="296"/>
      <c r="AP28" s="296"/>
    </row>
    <row r="29" spans="1:42" s="1936" customFormat="1" ht="18.75" customHeight="1">
      <c r="A29" s="1284"/>
      <c r="B29" s="1284"/>
      <c r="C29" s="1284"/>
      <c r="D29" s="1284"/>
      <c r="E29" s="1284"/>
      <c r="F29" s="1284"/>
      <c r="G29" s="1284"/>
      <c r="H29" s="1284"/>
      <c r="I29" s="1284"/>
      <c r="J29" s="1284"/>
      <c r="K29" s="1284"/>
      <c r="L29" s="1285"/>
      <c r="M29" s="1284"/>
      <c r="N29" s="1284"/>
      <c r="O29" s="1284"/>
      <c r="S29" s="2262" t="s">
        <v>413</v>
      </c>
      <c r="T29" s="2262"/>
      <c r="U29" s="1288"/>
      <c r="V29" s="2263" t="str">
        <f>IF(TITLE_NUMBER_PR_CHANGE="",IF(TITLE_NUMBER_PR="","",TITLE_NUMBER_PR),TITLE_NUMBER_PR_CHANGE)</f>
        <v>924-в</v>
      </c>
      <c r="W29" s="2263"/>
      <c r="X29" s="2263"/>
      <c r="Y29" s="2263"/>
      <c r="Z29" s="2263"/>
      <c r="AA29" s="2263"/>
      <c r="AB29" s="252"/>
      <c r="AC29" s="2263" t="str">
        <f>IF(TITLE_NUMBER_PR_CHANGE="",IF(TITLE_NUMBER_PR="","",TITLE_NUMBER_PR),TITLE_NUMBER_PR_CHANGE)</f>
        <v>924-в</v>
      </c>
      <c r="AD29" s="2263"/>
      <c r="AE29" s="2263"/>
      <c r="AF29" s="2263"/>
      <c r="AG29" s="2263"/>
      <c r="AH29" s="2263"/>
      <c r="AI29" s="252"/>
      <c r="AJ29" s="252"/>
      <c r="AK29" s="199"/>
      <c r="AL29" s="296"/>
      <c r="AM29" s="296"/>
      <c r="AN29" s="296"/>
      <c r="AO29" s="296"/>
      <c r="AP29" s="296"/>
    </row>
    <row r="30" spans="1:42" s="1936" customFormat="1" ht="18.75" customHeight="1">
      <c r="A30" s="1284"/>
      <c r="B30" s="1284"/>
      <c r="C30" s="1284"/>
      <c r="D30" s="1284"/>
      <c r="E30" s="1284"/>
      <c r="F30" s="1284"/>
      <c r="G30" s="1284"/>
      <c r="H30" s="1284"/>
      <c r="I30" s="1284"/>
      <c r="J30" s="1284"/>
      <c r="K30" s="1284"/>
      <c r="L30" s="1285"/>
      <c r="M30" s="1284"/>
      <c r="N30" s="1284"/>
      <c r="O30" s="1284"/>
      <c r="S30" s="2262" t="s">
        <v>40</v>
      </c>
      <c r="T30" s="2262"/>
      <c r="U30" s="1288"/>
      <c r="V30" s="2263" t="str">
        <f>IF(TITLE_IST_PUB_CHANGE="",IF(TITLE_IST_PUB="","",TITLE_IST_PUB),TITLE_IST_PUB_CHANGE)</f>
        <v>Официальный интернет-портал правовой информации Красноярского края (http://www.zakon.krskstate.ru/)</v>
      </c>
      <c r="W30" s="2263"/>
      <c r="X30" s="2263"/>
      <c r="Y30" s="2263"/>
      <c r="Z30" s="2263"/>
      <c r="AA30" s="2263"/>
      <c r="AB30" s="252"/>
      <c r="AC30" s="2263" t="str">
        <f>IF(TITLE_IST_PUB_CHANGE="",IF(TITLE_IST_PUB="","",TITLE_IST_PUB),TITLE_IST_PUB_CHANGE)</f>
        <v>Официальный интернет-портал правовой информации Красноярского края (http://www.zakon.krskstate.ru/)</v>
      </c>
      <c r="AD30" s="2263"/>
      <c r="AE30" s="2263"/>
      <c r="AF30" s="2263"/>
      <c r="AG30" s="2263"/>
      <c r="AH30" s="2263"/>
      <c r="AI30" s="252"/>
      <c r="AJ30" s="252"/>
      <c r="AK30" s="199"/>
      <c r="AL30" s="296"/>
      <c r="AM30" s="296"/>
      <c r="AN30" s="296"/>
      <c r="AO30" s="296"/>
      <c r="AP30" s="296"/>
    </row>
    <row r="31" spans="1:42" ht="14.25" customHeight="1">
      <c r="Q31" s="305"/>
      <c r="R31" s="305"/>
      <c r="S31" s="1195"/>
      <c r="T31" s="290"/>
      <c r="U31" s="290"/>
      <c r="V31" s="246"/>
      <c r="W31" s="246"/>
      <c r="X31" s="246"/>
      <c r="Y31" s="246"/>
      <c r="Z31" s="246"/>
      <c r="AA31" s="246"/>
      <c r="AB31" s="246"/>
      <c r="AC31" s="246"/>
      <c r="AD31" s="246"/>
      <c r="AE31" s="246"/>
      <c r="AF31" s="246"/>
      <c r="AG31" s="246"/>
      <c r="AH31" s="246"/>
      <c r="AI31" s="246"/>
      <c r="AJ31" s="435"/>
    </row>
    <row r="32" spans="1:42" s="1936" customFormat="1" ht="18.75" customHeight="1">
      <c r="A32" s="1284"/>
      <c r="B32" s="1284"/>
      <c r="C32" s="1284"/>
      <c r="D32" s="1284"/>
      <c r="E32" s="1284"/>
      <c r="F32" s="1284"/>
      <c r="G32" s="1284"/>
      <c r="H32" s="1284"/>
      <c r="I32" s="1284"/>
      <c r="J32" s="1284"/>
      <c r="K32" s="1284"/>
      <c r="L32" s="1285"/>
      <c r="M32" s="1284"/>
      <c r="N32" s="1284"/>
      <c r="O32" s="1284"/>
      <c r="S32" s="2262" t="s">
        <v>414</v>
      </c>
      <c r="T32" s="2262"/>
      <c r="U32" s="1288"/>
      <c r="V32" s="2272">
        <f>IF(TITLE_DATE_PR_CHANGE="",IF(TITLE_DATE_PR="","",TITLE_DATE_PR),TITLE_DATE_PR_CHANGE)</f>
        <v>45278.357847222222</v>
      </c>
      <c r="W32" s="2272"/>
      <c r="X32" s="2272"/>
      <c r="Y32" s="2272"/>
      <c r="Z32" s="2272"/>
      <c r="AA32" s="2272"/>
      <c r="AB32" s="252"/>
      <c r="AC32" s="2272">
        <f>IF(TITLE_DATE_PR_CHANGE="",IF(TITLE_DATE_PR="","",TITLE_DATE_PR),TITLE_DATE_PR_CHANGE)</f>
        <v>45278.357847222222</v>
      </c>
      <c r="AD32" s="2272"/>
      <c r="AE32" s="2272"/>
      <c r="AF32" s="2272"/>
      <c r="AG32" s="2272"/>
      <c r="AH32" s="2272"/>
      <c r="AI32" s="252"/>
      <c r="AJ32" s="252"/>
      <c r="AK32" s="199"/>
      <c r="AL32" s="296"/>
      <c r="AM32" s="296"/>
      <c r="AN32" s="296"/>
      <c r="AO32" s="296"/>
      <c r="AP32" s="296"/>
    </row>
    <row r="33" spans="1:42" s="1936" customFormat="1" ht="18.75" customHeight="1">
      <c r="A33" s="1284"/>
      <c r="B33" s="1284"/>
      <c r="C33" s="1284"/>
      <c r="D33" s="1284"/>
      <c r="E33" s="1284"/>
      <c r="F33" s="1284"/>
      <c r="G33" s="1284"/>
      <c r="H33" s="1284"/>
      <c r="I33" s="1284"/>
      <c r="J33" s="1284"/>
      <c r="K33" s="1284"/>
      <c r="L33" s="1285"/>
      <c r="M33" s="1284"/>
      <c r="N33" s="1284"/>
      <c r="O33" s="1284"/>
      <c r="S33" s="2262" t="s">
        <v>415</v>
      </c>
      <c r="T33" s="2262"/>
      <c r="U33" s="1288"/>
      <c r="V33" s="2263" t="str">
        <f>IF(TITLE_NUMBER_PR_CHANGE="",IF(TITLE_NUMBER_PR="","",TITLE_NUMBER_PR),TITLE_NUMBER_PR_CHANGE)</f>
        <v>924-в</v>
      </c>
      <c r="W33" s="2263"/>
      <c r="X33" s="2263"/>
      <c r="Y33" s="2263"/>
      <c r="Z33" s="2263"/>
      <c r="AA33" s="2263"/>
      <c r="AB33" s="252"/>
      <c r="AC33" s="2263" t="str">
        <f>IF(TITLE_NUMBER_PR_CHANGE="",IF(TITLE_NUMBER_PR="","",TITLE_NUMBER_PR),TITLE_NUMBER_PR_CHANGE)</f>
        <v>924-в</v>
      </c>
      <c r="AD33" s="2263"/>
      <c r="AE33" s="2263"/>
      <c r="AF33" s="2263"/>
      <c r="AG33" s="2263"/>
      <c r="AH33" s="2263"/>
      <c r="AI33" s="252"/>
      <c r="AJ33" s="252"/>
      <c r="AK33" s="199"/>
      <c r="AL33" s="296"/>
      <c r="AM33" s="296"/>
      <c r="AN33" s="296"/>
      <c r="AO33" s="296"/>
      <c r="AP33" s="296"/>
    </row>
    <row r="34" spans="1:42" s="1936" customFormat="1" ht="0.75" customHeight="1">
      <c r="A34" s="1284"/>
      <c r="B34" s="1284"/>
      <c r="C34" s="1284"/>
      <c r="D34" s="1284"/>
      <c r="E34" s="1284"/>
      <c r="F34" s="1284"/>
      <c r="G34" s="1284"/>
      <c r="H34" s="1284"/>
      <c r="I34" s="1284"/>
      <c r="J34" s="1284"/>
      <c r="K34" s="1284"/>
      <c r="L34" s="1285"/>
      <c r="M34" s="1284"/>
      <c r="N34" s="1284"/>
      <c r="O34" s="1284"/>
      <c r="S34" s="248"/>
      <c r="T34" s="248"/>
      <c r="U34" s="1398"/>
      <c r="V34" s="252"/>
      <c r="W34" s="252"/>
      <c r="X34" s="252"/>
      <c r="Y34" s="252"/>
      <c r="Z34" s="252"/>
      <c r="AA34" s="252"/>
      <c r="AB34" s="197" t="s">
        <v>416</v>
      </c>
      <c r="AC34" s="252"/>
      <c r="AD34" s="252"/>
      <c r="AE34" s="252"/>
      <c r="AF34" s="252"/>
      <c r="AG34" s="252"/>
      <c r="AH34" s="252"/>
      <c r="AI34" s="197" t="s">
        <v>416</v>
      </c>
      <c r="AL34" s="296"/>
      <c r="AM34" s="296"/>
      <c r="AN34" s="296"/>
      <c r="AO34" s="296"/>
      <c r="AP34" s="296"/>
    </row>
    <row r="35" spans="1:42" ht="14.25" customHeight="1">
      <c r="Q35" s="305"/>
      <c r="R35" s="305"/>
      <c r="S35" s="1195"/>
      <c r="T35" s="290"/>
      <c r="U35" s="1153"/>
      <c r="V35" s="2264"/>
      <c r="W35" s="2264"/>
      <c r="X35" s="2264"/>
      <c r="Y35" s="2264"/>
      <c r="Z35" s="2264"/>
      <c r="AA35" s="2264"/>
      <c r="AB35" s="2264"/>
      <c r="AC35" s="2264"/>
      <c r="AD35" s="2264"/>
      <c r="AE35" s="2264"/>
      <c r="AF35" s="2264"/>
      <c r="AG35" s="2264"/>
      <c r="AH35" s="2264"/>
      <c r="AI35" s="2264"/>
    </row>
    <row r="36" spans="1:42" ht="14.25" customHeight="1">
      <c r="Q36" s="305"/>
      <c r="R36" s="305"/>
      <c r="S36" s="2143" t="s">
        <v>289</v>
      </c>
      <c r="T36" s="2143"/>
      <c r="U36" s="2143"/>
      <c r="V36" s="2143"/>
      <c r="W36" s="2143"/>
      <c r="X36" s="2143"/>
      <c r="Y36" s="2143"/>
      <c r="Z36" s="2143"/>
      <c r="AA36" s="2143"/>
      <c r="AB36" s="2143"/>
      <c r="AC36" s="2143"/>
      <c r="AD36" s="2143"/>
      <c r="AE36" s="2143"/>
      <c r="AF36" s="2143"/>
      <c r="AG36" s="2143"/>
      <c r="AH36" s="2143"/>
      <c r="AI36" s="2143"/>
      <c r="AJ36" s="2143"/>
      <c r="AK36" s="2143" t="s">
        <v>290</v>
      </c>
    </row>
    <row r="37" spans="1:42" ht="14.25" customHeight="1">
      <c r="Q37" s="305"/>
      <c r="R37" s="305"/>
      <c r="S37" s="2278" t="s">
        <v>87</v>
      </c>
      <c r="T37" s="2229" t="s">
        <v>417</v>
      </c>
      <c r="U37" s="219"/>
      <c r="V37" s="2279" t="s">
        <v>418</v>
      </c>
      <c r="W37" s="2280"/>
      <c r="X37" s="2280"/>
      <c r="Y37" s="2280"/>
      <c r="Z37" s="2280"/>
      <c r="AA37" s="2281"/>
      <c r="AB37" s="2282" t="s">
        <v>419</v>
      </c>
      <c r="AC37" s="2279" t="s">
        <v>418</v>
      </c>
      <c r="AD37" s="2280"/>
      <c r="AE37" s="2280"/>
      <c r="AF37" s="2280"/>
      <c r="AG37" s="2280"/>
      <c r="AH37" s="2281"/>
      <c r="AI37" s="2282" t="s">
        <v>420</v>
      </c>
      <c r="AJ37" s="2285" t="s">
        <v>421</v>
      </c>
      <c r="AK37" s="2143"/>
    </row>
    <row r="38" spans="1:42" ht="33.75" customHeight="1">
      <c r="Q38" s="305"/>
      <c r="R38" s="305"/>
      <c r="S38" s="2278"/>
      <c r="T38" s="2229"/>
      <c r="U38" s="938"/>
      <c r="V38" s="1393" t="s">
        <v>522</v>
      </c>
      <c r="W38" s="2115" t="s">
        <v>523</v>
      </c>
      <c r="X38" s="2114"/>
      <c r="Y38" s="2115" t="s">
        <v>425</v>
      </c>
      <c r="Z38" s="2120"/>
      <c r="AA38" s="2114"/>
      <c r="AB38" s="2283"/>
      <c r="AC38" s="1393" t="s">
        <v>522</v>
      </c>
      <c r="AD38" s="2115" t="s">
        <v>523</v>
      </c>
      <c r="AE38" s="2114"/>
      <c r="AF38" s="2115" t="s">
        <v>425</v>
      </c>
      <c r="AG38" s="2120"/>
      <c r="AH38" s="2114"/>
      <c r="AI38" s="2283"/>
      <c r="AJ38" s="2286"/>
      <c r="AK38" s="2143"/>
    </row>
    <row r="39" spans="1:42" ht="86.25" customHeight="1">
      <c r="A39" s="1286"/>
      <c r="B39" s="1286" t="s">
        <v>134</v>
      </c>
      <c r="C39" s="1286" t="s">
        <v>135</v>
      </c>
      <c r="D39" s="1286" t="s">
        <v>136</v>
      </c>
      <c r="E39" s="1280" t="s">
        <v>426</v>
      </c>
      <c r="F39" s="1280" t="s">
        <v>427</v>
      </c>
      <c r="G39" s="1280" t="s">
        <v>428</v>
      </c>
      <c r="H39" s="1280"/>
      <c r="I39" s="1280" t="s">
        <v>479</v>
      </c>
      <c r="J39" s="1280" t="s">
        <v>431</v>
      </c>
      <c r="K39" s="1280" t="s">
        <v>480</v>
      </c>
      <c r="L39" s="1280" t="s">
        <v>407</v>
      </c>
      <c r="Q39" s="305"/>
      <c r="R39" s="305"/>
      <c r="S39" s="2278"/>
      <c r="T39" s="2229"/>
      <c r="U39" s="220"/>
      <c r="V39" s="1393" t="s">
        <v>524</v>
      </c>
      <c r="W39" s="1128" t="s">
        <v>525</v>
      </c>
      <c r="X39" s="1128" t="s">
        <v>526</v>
      </c>
      <c r="Y39" s="1399" t="s">
        <v>435</v>
      </c>
      <c r="Z39" s="2238" t="s">
        <v>436</v>
      </c>
      <c r="AA39" s="2240"/>
      <c r="AB39" s="2284"/>
      <c r="AC39" s="1393" t="s">
        <v>524</v>
      </c>
      <c r="AD39" s="1128" t="s">
        <v>525</v>
      </c>
      <c r="AE39" s="1128" t="s">
        <v>526</v>
      </c>
      <c r="AF39" s="1399" t="s">
        <v>435</v>
      </c>
      <c r="AG39" s="2238" t="s">
        <v>436</v>
      </c>
      <c r="AH39" s="2240"/>
      <c r="AI39" s="2284"/>
      <c r="AJ39" s="2287"/>
      <c r="AK39" s="2143"/>
    </row>
    <row r="40" spans="1:42" s="1819" customFormat="1" ht="11.25" hidden="1" customHeight="1">
      <c r="A40" s="1286"/>
      <c r="B40" s="1286"/>
      <c r="C40" s="1286"/>
      <c r="D40" s="1286"/>
      <c r="E40" s="1286"/>
      <c r="F40" s="1286"/>
      <c r="G40" s="1286"/>
      <c r="H40" s="1286"/>
      <c r="I40" s="1286"/>
      <c r="J40" s="1286"/>
      <c r="K40" s="1286"/>
      <c r="L40" s="1280"/>
      <c r="M40" s="1278"/>
      <c r="N40" s="1278"/>
      <c r="O40" s="1278"/>
      <c r="P40" s="1155"/>
      <c r="Q40" s="1156"/>
      <c r="R40" s="1171">
        <v>1</v>
      </c>
      <c r="S40" s="1197" t="s">
        <v>108</v>
      </c>
      <c r="T40" s="1172" t="s">
        <v>109</v>
      </c>
      <c r="U40" s="1154" t="str">
        <f ca="1">OFFSET(U40,0,-1)</f>
        <v>2</v>
      </c>
      <c r="V40" s="1392">
        <f ca="1">OFFSET(V40,0,-1)+1</f>
        <v>3</v>
      </c>
      <c r="W40" s="1392">
        <f ca="1">OFFSET(W40,0,-1)+1</f>
        <v>4</v>
      </c>
      <c r="X40" s="1392">
        <f ca="1">OFFSET(X40,0,-1)+1</f>
        <v>5</v>
      </c>
      <c r="Y40" s="1392">
        <f ca="1">OFFSET(Y40,0,-1)+1</f>
        <v>6</v>
      </c>
      <c r="Z40" s="2277">
        <f ca="1">OFFSET(Z40,0,-1)+1</f>
        <v>7</v>
      </c>
      <c r="AA40" s="2277"/>
      <c r="AB40" s="1392">
        <f ca="1">OFFSET(AB40,0,-2)+1</f>
        <v>8</v>
      </c>
      <c r="AC40" s="1392">
        <f ca="1">OFFSET(AC40,0,-1)+1</f>
        <v>9</v>
      </c>
      <c r="AD40" s="1392">
        <f ca="1">OFFSET(AD40,0,-1)+1</f>
        <v>10</v>
      </c>
      <c r="AE40" s="1392">
        <f ca="1">OFFSET(AE40,0,-1)+1</f>
        <v>11</v>
      </c>
      <c r="AF40" s="1392">
        <f ca="1">OFFSET(AF40,0,-1)+1</f>
        <v>12</v>
      </c>
      <c r="AG40" s="2277">
        <f ca="1">OFFSET(AG40,0,-1)+1</f>
        <v>13</v>
      </c>
      <c r="AH40" s="2277"/>
      <c r="AI40" s="1392">
        <f ca="1">OFFSET(AI40,0,-2)+1</f>
        <v>14</v>
      </c>
      <c r="AJ40" s="1154">
        <f ca="1">OFFSET(AJ40,0,-1)</f>
        <v>14</v>
      </c>
      <c r="AK40" s="1392">
        <f ca="1">OFFSET(AK40,0,-1)+1</f>
        <v>15</v>
      </c>
      <c r="AL40" s="437"/>
      <c r="AM40" s="437"/>
      <c r="AN40" s="437"/>
      <c r="AO40" s="437"/>
      <c r="AP40" s="437"/>
    </row>
    <row r="41" spans="1:42" ht="23.25" customHeight="1">
      <c r="A41" s="1279" t="s">
        <v>240</v>
      </c>
      <c r="B41" s="1279"/>
      <c r="C41" s="1279"/>
      <c r="D41" s="1279"/>
      <c r="E41" s="2270">
        <v>1</v>
      </c>
      <c r="F41" s="1279"/>
      <c r="G41" s="1279"/>
      <c r="H41" s="1279"/>
      <c r="I41" s="1279"/>
      <c r="J41" s="1279"/>
      <c r="K41" s="1279"/>
      <c r="L41" s="1280"/>
      <c r="M41" s="1281"/>
      <c r="N41" s="1281"/>
      <c r="O41" s="1281"/>
      <c r="P41" s="286"/>
      <c r="Q41" s="285"/>
      <c r="R41" s="280"/>
      <c r="S41" s="1403">
        <f>INDEX(PT_DIFFERENTIATION_NUM_NTAR,MATCH(A41,PT_DIFFERENTIATION_NTAR_ID,0))</f>
        <v>0</v>
      </c>
      <c r="T41" s="216" t="s">
        <v>122</v>
      </c>
      <c r="U41" s="218"/>
      <c r="V41" s="2256"/>
      <c r="W41" s="2257"/>
      <c r="X41" s="2257"/>
      <c r="Y41" s="2257"/>
      <c r="Z41" s="2257"/>
      <c r="AA41" s="2257"/>
      <c r="AB41" s="2258"/>
      <c r="AC41" s="2256" t="str">
        <f>INDEX(PT_DIFFERENTIATION_NTAR,MATCH(A41,PT_DIFFERENTIATION_NTAR_ID,0))</f>
        <v/>
      </c>
      <c r="AD41" s="2257"/>
      <c r="AE41" s="2257"/>
      <c r="AF41" s="2257"/>
      <c r="AG41" s="2257"/>
      <c r="AH41" s="2257"/>
      <c r="AI41" s="2257"/>
      <c r="AJ41" s="2258"/>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79" t="s">
        <v>240</v>
      </c>
      <c r="B42" s="1279" t="s">
        <v>241</v>
      </c>
      <c r="C42" s="1279"/>
      <c r="D42" s="1279"/>
      <c r="E42" s="2271"/>
      <c r="F42" s="2270">
        <v>1</v>
      </c>
      <c r="G42" s="1279"/>
      <c r="H42" s="1279"/>
      <c r="I42" s="1279"/>
      <c r="J42" s="1279"/>
      <c r="K42" s="1279"/>
      <c r="L42" s="1280"/>
      <c r="M42" s="1281"/>
      <c r="N42" s="1281"/>
      <c r="O42" s="1281"/>
      <c r="P42" s="1397"/>
      <c r="Q42" s="277"/>
      <c r="R42" s="278"/>
      <c r="S42" s="1403" t="str">
        <f>INDEX(PT_DIFFERENTIATION_NUM_TER,MATCH(B42,PT_DIFFERENTIATION_TER_ID,0))</f>
        <v>.</v>
      </c>
      <c r="T42" s="228" t="s">
        <v>388</v>
      </c>
      <c r="U42" s="218"/>
      <c r="V42" s="2256"/>
      <c r="W42" s="2257"/>
      <c r="X42" s="2257"/>
      <c r="Y42" s="2257"/>
      <c r="Z42" s="2257"/>
      <c r="AA42" s="2257"/>
      <c r="AB42" s="2258"/>
      <c r="AC42" s="2256" t="str">
        <f>INDEX(PT_DIFFERENTIATION_TER,MATCH(B42,PT_DIFFERENTIATION_TER_ID,0))</f>
        <v/>
      </c>
      <c r="AD42" s="2257"/>
      <c r="AE42" s="2257"/>
      <c r="AF42" s="2257"/>
      <c r="AG42" s="2257"/>
      <c r="AH42" s="2257"/>
      <c r="AI42" s="2257"/>
      <c r="AJ42" s="2258"/>
      <c r="AK42" s="1177" t="s">
        <v>389</v>
      </c>
      <c r="AM42" s="426"/>
      <c r="AN42" s="426" t="str">
        <f t="shared" si="1"/>
        <v>Территория действия тарифа</v>
      </c>
      <c r="AO42" s="426"/>
      <c r="AP42" s="426"/>
    </row>
    <row r="43" spans="1:42" ht="23.25" customHeight="1">
      <c r="A43" s="1279" t="s">
        <v>240</v>
      </c>
      <c r="B43" s="1279" t="s">
        <v>241</v>
      </c>
      <c r="C43" s="1279" t="s">
        <v>242</v>
      </c>
      <c r="D43" s="1279"/>
      <c r="E43" s="2271"/>
      <c r="F43" s="2271"/>
      <c r="G43" s="2270">
        <v>1</v>
      </c>
      <c r="H43" s="1279"/>
      <c r="I43" s="1279"/>
      <c r="J43" s="1279"/>
      <c r="K43" s="1279"/>
      <c r="L43" s="1280"/>
      <c r="M43" s="1281"/>
      <c r="N43" s="1281"/>
      <c r="O43" s="1281"/>
      <c r="P43" s="279"/>
      <c r="Q43" s="277"/>
      <c r="R43" s="278"/>
      <c r="S43" s="1403" t="str">
        <f>INDEX(PT_DIFFERENTIATION_NUM_CS,MATCH(C43,PT_DIFFERENTIATION_CS_ID,0))</f>
        <v>..</v>
      </c>
      <c r="T43" s="229" t="s">
        <v>520</v>
      </c>
      <c r="U43" s="218"/>
      <c r="V43" s="2256"/>
      <c r="W43" s="2257"/>
      <c r="X43" s="2257"/>
      <c r="Y43" s="2257"/>
      <c r="Z43" s="2257"/>
      <c r="AA43" s="2257"/>
      <c r="AB43" s="2258"/>
      <c r="AC43" s="2256" t="str">
        <f>INDEX(PT_DIFFERENTIATION_CS,MATCH(C43,PT_DIFFERENTIATION_CS_ID,0))</f>
        <v/>
      </c>
      <c r="AD43" s="2257"/>
      <c r="AE43" s="2257"/>
      <c r="AF43" s="2257"/>
      <c r="AG43" s="2257"/>
      <c r="AH43" s="2257"/>
      <c r="AI43" s="2257"/>
      <c r="AJ43" s="2258"/>
      <c r="AK43" s="1177" t="s">
        <v>521</v>
      </c>
      <c r="AM43" s="426"/>
      <c r="AN43" s="426" t="str">
        <f t="shared" si="1"/>
        <v>Наименование централизованной системы горячего водоснабжения</v>
      </c>
      <c r="AO43" s="426"/>
      <c r="AP43" s="426"/>
    </row>
    <row r="44" spans="1:42" ht="23.25" customHeight="1">
      <c r="A44" s="1279" t="s">
        <v>240</v>
      </c>
      <c r="B44" s="1279" t="s">
        <v>241</v>
      </c>
      <c r="C44" s="1279" t="s">
        <v>242</v>
      </c>
      <c r="D44" s="1279" t="s">
        <v>527</v>
      </c>
      <c r="E44" s="2271"/>
      <c r="F44" s="2271"/>
      <c r="G44" s="2271"/>
      <c r="H44" s="2271"/>
      <c r="I44" s="2268" t="str">
        <f>S43&amp;".1"</f>
        <v>...1</v>
      </c>
      <c r="J44" s="1279"/>
      <c r="K44" s="1279"/>
      <c r="L44" s="1280"/>
      <c r="P44" s="2269">
        <v>1</v>
      </c>
      <c r="Q44" s="1391"/>
      <c r="R44" s="281"/>
      <c r="S44" s="1403" t="str">
        <f>$I44</f>
        <v>...1</v>
      </c>
      <c r="T44" s="203" t="s">
        <v>471</v>
      </c>
      <c r="U44" s="218"/>
      <c r="V44" s="2329"/>
      <c r="W44" s="2330"/>
      <c r="X44" s="2330"/>
      <c r="Y44" s="2330"/>
      <c r="Z44" s="2330"/>
      <c r="AA44" s="2330"/>
      <c r="AB44" s="2331"/>
      <c r="AC44" s="2332"/>
      <c r="AD44" s="2333"/>
      <c r="AE44" s="2333"/>
      <c r="AF44" s="2333"/>
      <c r="AG44" s="2333"/>
      <c r="AH44" s="2333"/>
      <c r="AI44" s="2333"/>
      <c r="AJ44" s="2334"/>
      <c r="AK44" s="1177" t="s">
        <v>472</v>
      </c>
      <c r="AM44" s="426"/>
      <c r="AN44" s="426" t="str">
        <f t="shared" si="1"/>
        <v>Наименование признака дифференциации</v>
      </c>
      <c r="AO44" s="426"/>
      <c r="AP44" s="426"/>
    </row>
    <row r="45" spans="1:42" ht="23.25" customHeight="1">
      <c r="A45" s="1279" t="s">
        <v>240</v>
      </c>
      <c r="B45" s="1279" t="s">
        <v>241</v>
      </c>
      <c r="C45" s="1279" t="s">
        <v>242</v>
      </c>
      <c r="D45" s="1279" t="s">
        <v>527</v>
      </c>
      <c r="E45" s="2271"/>
      <c r="F45" s="2271"/>
      <c r="G45" s="2271"/>
      <c r="H45" s="2271"/>
      <c r="I45" s="2291"/>
      <c r="J45" s="2268" t="str">
        <f>I44&amp;".1"</f>
        <v>...1.1</v>
      </c>
      <c r="K45" s="1279"/>
      <c r="L45" s="1280" t="s">
        <v>397</v>
      </c>
      <c r="P45" s="2269"/>
      <c r="Q45" s="2269">
        <v>1</v>
      </c>
      <c r="R45" s="282"/>
      <c r="S45" s="1403" t="str">
        <f>$J45</f>
        <v>...1.1</v>
      </c>
      <c r="T45" s="204" t="s">
        <v>398</v>
      </c>
      <c r="U45" s="218"/>
      <c r="V45" s="2259"/>
      <c r="W45" s="2260"/>
      <c r="X45" s="2260"/>
      <c r="Y45" s="2260"/>
      <c r="Z45" s="2260"/>
      <c r="AA45" s="2260"/>
      <c r="AB45" s="2261"/>
      <c r="AC45" s="2259"/>
      <c r="AD45" s="2260"/>
      <c r="AE45" s="2260"/>
      <c r="AF45" s="2260"/>
      <c r="AG45" s="2260"/>
      <c r="AH45" s="2260"/>
      <c r="AI45" s="2260"/>
      <c r="AJ45" s="2261"/>
      <c r="AK45" s="1226" t="s">
        <v>473</v>
      </c>
      <c r="AM45" s="426"/>
      <c r="AN45" s="426" t="str">
        <f t="shared" si="1"/>
        <v>Группа потребителей</v>
      </c>
      <c r="AO45" s="426"/>
      <c r="AP45" s="426"/>
    </row>
    <row r="46" spans="1:42" ht="23.25" customHeight="1">
      <c r="A46" s="1279" t="s">
        <v>240</v>
      </c>
      <c r="B46" s="1279" t="s">
        <v>241</v>
      </c>
      <c r="C46" s="1279" t="s">
        <v>242</v>
      </c>
      <c r="D46" s="1279" t="s">
        <v>527</v>
      </c>
      <c r="E46" s="2271"/>
      <c r="F46" s="2271"/>
      <c r="G46" s="2271"/>
      <c r="H46" s="2271"/>
      <c r="I46" s="2291"/>
      <c r="J46" s="2291"/>
      <c r="K46" s="2268" t="str">
        <f>J45&amp;".1"</f>
        <v>...1.1.1</v>
      </c>
      <c r="L46" s="1280"/>
      <c r="P46" s="2269"/>
      <c r="Q46" s="2269"/>
      <c r="R46" s="282">
        <v>1</v>
      </c>
      <c r="S46" s="1403" t="str">
        <f>$K46</f>
        <v>...1.1.1</v>
      </c>
      <c r="T46" s="1352"/>
      <c r="U46" s="218"/>
      <c r="V46" s="1276"/>
      <c r="W46" s="1276"/>
      <c r="X46" s="1277"/>
      <c r="Y46" s="2275"/>
      <c r="Z46" s="2276" t="s">
        <v>61</v>
      </c>
      <c r="AA46" s="2275"/>
      <c r="AB46" s="2276" t="s">
        <v>61</v>
      </c>
      <c r="AC46" s="668"/>
      <c r="AD46" s="668"/>
      <c r="AE46" s="1176"/>
      <c r="AF46" s="2273"/>
      <c r="AG46" s="2124" t="s">
        <v>61</v>
      </c>
      <c r="AH46" s="2292"/>
      <c r="AI46" s="2124" t="s">
        <v>56</v>
      </c>
      <c r="AJ46" s="1353"/>
      <c r="AK46" s="23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79" t="s">
        <v>240</v>
      </c>
      <c r="B47" s="1279" t="s">
        <v>241</v>
      </c>
      <c r="C47" s="1279" t="s">
        <v>242</v>
      </c>
      <c r="D47" s="1279" t="s">
        <v>527</v>
      </c>
      <c r="E47" s="2271"/>
      <c r="F47" s="2271"/>
      <c r="G47" s="2271"/>
      <c r="H47" s="2271"/>
      <c r="I47" s="2291"/>
      <c r="J47" s="2291"/>
      <c r="K47" s="2268"/>
      <c r="L47" s="1280"/>
      <c r="P47" s="2269"/>
      <c r="Q47" s="2269"/>
      <c r="R47" s="282"/>
      <c r="S47" s="1400"/>
      <c r="T47" s="218"/>
      <c r="U47" s="218"/>
      <c r="V47" s="1276"/>
      <c r="W47" s="1276"/>
      <c r="X47" s="254" t="str">
        <f>Y46&amp;"-"&amp;AA46</f>
        <v>-</v>
      </c>
      <c r="Y47" s="2276"/>
      <c r="Z47" s="2276"/>
      <c r="AA47" s="2276"/>
      <c r="AB47" s="2276"/>
      <c r="AC47" s="250"/>
      <c r="AD47" s="250"/>
      <c r="AE47" s="254" t="str">
        <f>AF46&amp;"-"&amp;AH46</f>
        <v>-</v>
      </c>
      <c r="AF47" s="2274"/>
      <c r="AG47" s="2124"/>
      <c r="AH47" s="2293"/>
      <c r="AI47" s="2124"/>
      <c r="AJ47" s="1354"/>
      <c r="AK47" s="2328"/>
      <c r="AM47" s="426"/>
      <c r="AN47" s="426" t="str">
        <f t="shared" si="1"/>
        <v/>
      </c>
      <c r="AO47" s="426"/>
      <c r="AP47" s="426"/>
    </row>
    <row r="48" spans="1:42" ht="21" customHeight="1">
      <c r="A48" s="1279" t="s">
        <v>240</v>
      </c>
      <c r="B48" s="1279" t="s">
        <v>241</v>
      </c>
      <c r="C48" s="1279" t="s">
        <v>242</v>
      </c>
      <c r="D48" s="1279" t="s">
        <v>527</v>
      </c>
      <c r="E48" s="2271"/>
      <c r="F48" s="2271"/>
      <c r="G48" s="2271"/>
      <c r="H48" s="2271"/>
      <c r="I48" s="2291"/>
      <c r="J48" s="2268"/>
      <c r="K48" s="1279"/>
      <c r="L48" s="1280"/>
      <c r="P48" s="2269"/>
      <c r="Q48" s="2269"/>
      <c r="R48" s="281"/>
      <c r="S48" s="1198"/>
      <c r="T48" s="205" t="s">
        <v>474</v>
      </c>
      <c r="U48" s="295"/>
      <c r="V48" s="295"/>
      <c r="W48" s="295"/>
      <c r="X48" s="295"/>
      <c r="Y48" s="295"/>
      <c r="Z48" s="295"/>
      <c r="AA48" s="295"/>
      <c r="AB48" s="295"/>
      <c r="AC48" s="295"/>
      <c r="AD48" s="295"/>
      <c r="AE48" s="295"/>
      <c r="AF48" s="295"/>
      <c r="AG48" s="295"/>
      <c r="AH48" s="295"/>
      <c r="AI48" s="295"/>
      <c r="AJ48" s="295"/>
      <c r="AK48" s="1177" t="s">
        <v>475</v>
      </c>
      <c r="AM48" s="426"/>
      <c r="AN48" s="426" t="str">
        <f t="shared" si="1"/>
        <v>Добавить значение признака дифференциации</v>
      </c>
      <c r="AO48" s="426"/>
      <c r="AP48" s="426"/>
    </row>
    <row r="49" spans="1:42" ht="21" customHeight="1">
      <c r="A49" s="1279" t="s">
        <v>240</v>
      </c>
      <c r="B49" s="1279" t="s">
        <v>241</v>
      </c>
      <c r="C49" s="1279" t="s">
        <v>242</v>
      </c>
      <c r="D49" s="1279" t="s">
        <v>527</v>
      </c>
      <c r="E49" s="2271"/>
      <c r="F49" s="2271"/>
      <c r="G49" s="2271"/>
      <c r="H49" s="2271"/>
      <c r="I49" s="2268"/>
      <c r="J49" s="1279"/>
      <c r="K49" s="1279"/>
      <c r="L49" s="1280"/>
      <c r="P49" s="2269"/>
      <c r="Q49" s="1391"/>
      <c r="R49" s="281"/>
      <c r="S49" s="1198"/>
      <c r="T49" s="292" t="s">
        <v>403</v>
      </c>
      <c r="U49" s="295"/>
      <c r="V49" s="295"/>
      <c r="W49" s="295"/>
      <c r="X49" s="295"/>
      <c r="Y49" s="295"/>
      <c r="Z49" s="295"/>
      <c r="AA49" s="295"/>
      <c r="AB49" s="294"/>
      <c r="AC49" s="295"/>
      <c r="AD49" s="295"/>
      <c r="AE49" s="295"/>
      <c r="AF49" s="295"/>
      <c r="AG49" s="295"/>
      <c r="AH49" s="295"/>
      <c r="AI49" s="294"/>
      <c r="AJ49" s="295"/>
      <c r="AK49" s="1355"/>
      <c r="AM49" s="426"/>
      <c r="AN49" s="426" t="str">
        <f t="shared" si="1"/>
        <v>Добавить группу потребителей</v>
      </c>
      <c r="AO49" s="426"/>
      <c r="AP49" s="426"/>
    </row>
    <row r="50" spans="1:42" ht="21" customHeight="1">
      <c r="A50" s="1279" t="s">
        <v>240</v>
      </c>
      <c r="B50" s="1279" t="s">
        <v>241</v>
      </c>
      <c r="C50" s="1279" t="s">
        <v>242</v>
      </c>
      <c r="D50" s="1279" t="s">
        <v>527</v>
      </c>
      <c r="E50" s="2271"/>
      <c r="F50" s="2271"/>
      <c r="G50" s="2271"/>
      <c r="H50" s="2270"/>
      <c r="I50" s="1279"/>
      <c r="J50" s="1279"/>
      <c r="K50" s="1279"/>
      <c r="L50" s="1280"/>
      <c r="M50" s="1281"/>
      <c r="N50" s="1281"/>
      <c r="O50" s="462"/>
      <c r="P50" s="285"/>
      <c r="Q50" s="304"/>
      <c r="R50" s="280"/>
      <c r="S50" s="1198"/>
      <c r="T50" s="300" t="s">
        <v>476</v>
      </c>
      <c r="U50" s="295"/>
      <c r="V50" s="295"/>
      <c r="W50" s="295"/>
      <c r="X50" s="295"/>
      <c r="Y50" s="295"/>
      <c r="Z50" s="295"/>
      <c r="AA50" s="295"/>
      <c r="AB50" s="294"/>
      <c r="AC50" s="295"/>
      <c r="AD50" s="295"/>
      <c r="AE50" s="295"/>
      <c r="AF50" s="295"/>
      <c r="AG50" s="295"/>
      <c r="AH50" s="295"/>
      <c r="AI50" s="294"/>
      <c r="AJ50" s="295"/>
      <c r="AK50" s="221"/>
      <c r="AM50" s="426"/>
      <c r="AN50" s="426" t="str">
        <f t="shared" si="1"/>
        <v>Добавить наименование признака дифференциации</v>
      </c>
      <c r="AO50" s="426"/>
      <c r="AP50" s="426"/>
    </row>
    <row r="51" spans="1:42" s="1930" customFormat="1" ht="0" hidden="1" customHeight="1">
      <c r="A51" s="1260" t="s">
        <v>240</v>
      </c>
      <c r="B51" s="1260" t="s">
        <v>241</v>
      </c>
      <c r="C51" s="1232"/>
      <c r="D51" s="1232"/>
      <c r="E51" s="2271"/>
      <c r="F51" s="2270"/>
      <c r="G51" s="1232"/>
      <c r="H51" s="1232"/>
      <c r="I51" s="1232"/>
      <c r="J51" s="1232"/>
      <c r="K51" s="1232"/>
      <c r="L51" s="1404"/>
      <c r="M51" s="1239"/>
      <c r="N51" s="1239"/>
      <c r="P51" s="1234"/>
      <c r="Q51" s="1235"/>
      <c r="R51" s="1234"/>
      <c r="S51" s="1240"/>
      <c r="T51" s="1243" t="s">
        <v>215</v>
      </c>
      <c r="U51" s="1242"/>
      <c r="V51" s="1242"/>
      <c r="W51" s="1242"/>
      <c r="X51" s="1242"/>
      <c r="Y51" s="1242"/>
      <c r="Z51" s="1242"/>
      <c r="AA51" s="1242"/>
      <c r="AB51" s="1242"/>
      <c r="AC51" s="1242"/>
      <c r="AD51" s="1242"/>
      <c r="AE51" s="1242"/>
      <c r="AF51" s="1242"/>
      <c r="AG51" s="1242"/>
      <c r="AH51" s="1242"/>
      <c r="AI51" s="1242"/>
      <c r="AJ51" s="1242"/>
      <c r="AK51" s="1242"/>
      <c r="AM51" s="706"/>
      <c r="AN51" s="706" t="str">
        <f t="shared" si="1"/>
        <v>Добавить централизованную систему для дифференциации</v>
      </c>
      <c r="AO51" s="706"/>
      <c r="AP51" s="706"/>
    </row>
    <row r="52" spans="1:42" s="1820" customFormat="1" ht="0" hidden="1" customHeight="1">
      <c r="A52" s="1260" t="s">
        <v>240</v>
      </c>
      <c r="B52" s="1260"/>
      <c r="C52" s="1260"/>
      <c r="D52" s="1260"/>
      <c r="E52" s="2270"/>
      <c r="F52" s="1260"/>
      <c r="G52" s="1260"/>
      <c r="H52" s="1260"/>
      <c r="I52" s="1260"/>
      <c r="J52" s="1260"/>
      <c r="K52" s="1260"/>
      <c r="L52" s="1263"/>
      <c r="M52" s="1239"/>
      <c r="N52" s="1239"/>
      <c r="O52" s="444"/>
      <c r="P52" s="313"/>
      <c r="Q52" s="1261"/>
      <c r="R52" s="313"/>
      <c r="S52" s="1240"/>
      <c r="T52" s="1243" t="s">
        <v>216</v>
      </c>
      <c r="U52" s="1242"/>
      <c r="V52" s="1242"/>
      <c r="W52" s="1242"/>
      <c r="X52" s="1242"/>
      <c r="Y52" s="1242"/>
      <c r="Z52" s="1242"/>
      <c r="AA52" s="1242"/>
      <c r="AB52" s="1242"/>
      <c r="AC52" s="1242"/>
      <c r="AD52" s="1242"/>
      <c r="AE52" s="1242"/>
      <c r="AF52" s="1242"/>
      <c r="AG52" s="1242"/>
      <c r="AH52" s="1242"/>
      <c r="AI52" s="1242"/>
      <c r="AJ52" s="1242"/>
      <c r="AK52" s="1242"/>
      <c r="AM52" s="426"/>
      <c r="AN52" s="426" t="str">
        <f t="shared" si="1"/>
        <v>Добавить территорию для дифференциации</v>
      </c>
      <c r="AO52" s="426"/>
      <c r="AP52" s="426"/>
    </row>
    <row r="53" spans="1:42" s="1930" customFormat="1" ht="0" hidden="1" customHeight="1">
      <c r="A53" s="1232"/>
      <c r="B53" s="1232"/>
      <c r="C53" s="1232"/>
      <c r="D53" s="1232"/>
      <c r="E53" s="1260"/>
      <c r="F53" s="1232"/>
      <c r="G53" s="1232"/>
      <c r="H53" s="1232"/>
      <c r="I53" s="1232"/>
      <c r="J53" s="1232"/>
      <c r="K53" s="1232"/>
      <c r="L53" s="1404"/>
      <c r="M53" s="1239"/>
      <c r="N53" s="1239"/>
      <c r="P53" s="1234"/>
      <c r="Q53" s="1235"/>
      <c r="R53" s="1234"/>
      <c r="S53" s="1240"/>
      <c r="T53" s="1243" t="s">
        <v>217</v>
      </c>
      <c r="U53" s="1242"/>
      <c r="V53" s="1242"/>
      <c r="W53" s="1242"/>
      <c r="X53" s="1242"/>
      <c r="Y53" s="1242"/>
      <c r="Z53" s="1242"/>
      <c r="AA53" s="1242"/>
      <c r="AB53" s="1242"/>
      <c r="AC53" s="1242"/>
      <c r="AD53" s="1242"/>
      <c r="AE53" s="1242"/>
      <c r="AF53" s="1242"/>
      <c r="AG53" s="1242"/>
      <c r="AH53" s="1242"/>
      <c r="AI53" s="1242"/>
      <c r="AJ53" s="1242"/>
      <c r="AK53" s="1242"/>
      <c r="AM53" s="706"/>
      <c r="AN53" s="706" t="str">
        <f t="shared" si="1"/>
        <v>Добавить наименование тарифа</v>
      </c>
      <c r="AO53" s="706"/>
      <c r="AP53" s="706"/>
    </row>
    <row r="54" spans="1:42" ht="11.25" customHeight="1">
      <c r="M54" s="1060"/>
      <c r="N54" s="1060"/>
      <c r="O54" s="462"/>
      <c r="P54" s="1055"/>
      <c r="Q54" s="1055"/>
      <c r="R54" s="1055"/>
      <c r="S54" s="1055"/>
      <c r="AL54" s="1055"/>
      <c r="AM54" s="1055"/>
      <c r="AN54" s="1055"/>
      <c r="AO54" s="1055"/>
      <c r="AP54" s="1055"/>
    </row>
    <row r="55" spans="1:42" ht="14.25" customHeight="1">
      <c r="O55" s="462"/>
      <c r="S55" s="1164"/>
      <c r="T55" s="2290"/>
      <c r="U55" s="2290"/>
      <c r="V55" s="2290"/>
      <c r="W55" s="2290"/>
      <c r="X55" s="2290"/>
      <c r="Y55" s="2290"/>
      <c r="Z55" s="2290"/>
      <c r="AA55" s="2290"/>
      <c r="AB55" s="2290"/>
      <c r="AC55" s="2290"/>
      <c r="AD55" s="2290"/>
      <c r="AE55" s="2290"/>
      <c r="AF55" s="2290"/>
      <c r="AG55" s="2290"/>
      <c r="AH55" s="2290"/>
      <c r="AI55" s="2290"/>
      <c r="AJ55" s="2290"/>
      <c r="AK55" s="2290"/>
    </row>
    <row r="56" spans="1:42" ht="14.25" customHeight="1">
      <c r="O56" s="462"/>
    </row>
    <row r="57" spans="1:42" ht="14.25" customHeight="1">
      <c r="O57" s="462"/>
      <c r="S57" s="1164"/>
      <c r="T57" s="2290"/>
      <c r="U57" s="2290"/>
      <c r="V57" s="2290"/>
      <c r="W57" s="2290"/>
      <c r="X57" s="2290"/>
      <c r="Y57" s="2290"/>
      <c r="Z57" s="2290"/>
      <c r="AA57" s="2290"/>
      <c r="AB57" s="2290"/>
      <c r="AC57" s="2290"/>
      <c r="AD57" s="2290"/>
      <c r="AE57" s="2290"/>
      <c r="AF57" s="2290"/>
      <c r="AG57" s="2290"/>
      <c r="AH57" s="2290"/>
      <c r="AI57" s="2290"/>
      <c r="AJ57" s="2290"/>
      <c r="AK57" s="2290"/>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B04FE-CC9B-DB8E-BBF7-078C67B083E5}">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931" hidden="1" customWidth="1"/>
    <col min="2" max="2" width="11" style="1931" hidden="1" customWidth="1"/>
    <col min="3" max="3" width="10.5703125" style="1931" hidden="1"/>
    <col min="4" max="4" width="12.85546875" style="1931" hidden="1" customWidth="1"/>
    <col min="5" max="5" width="10" style="1931" hidden="1" customWidth="1"/>
    <col min="6" max="6" width="8.7109375" style="1931" hidden="1" customWidth="1"/>
    <col min="7" max="7" width="7.5703125" style="1931" hidden="1" customWidth="1"/>
    <col min="8" max="8" width="11.42578125" style="1931" hidden="1" customWidth="1"/>
    <col min="9" max="9" width="12" style="1931" hidden="1" customWidth="1"/>
    <col min="10" max="10" width="9.85546875" style="1931" hidden="1" customWidth="1"/>
    <col min="11" max="11" width="11.42578125" style="1931" hidden="1" customWidth="1"/>
    <col min="12" max="12" width="19.140625" style="2008" hidden="1" customWidth="1"/>
    <col min="13" max="14" width="12.28515625" style="1933" hidden="1" customWidth="1"/>
    <col min="15" max="15" width="23.42578125" style="1933" hidden="1" customWidth="1"/>
    <col min="16" max="16" width="3.7109375" style="1933" hidden="1" customWidth="1"/>
    <col min="17" max="17" width="3.7109375" style="1934" hidden="1" customWidth="1"/>
    <col min="18" max="18" width="3.7109375" style="1939" customWidth="1"/>
    <col min="19" max="19" width="12.7109375" style="1940" customWidth="1"/>
    <col min="20" max="20" width="32" style="1905" customWidth="1"/>
    <col min="21" max="21" width="0.140625" style="1905" customWidth="1"/>
    <col min="22" max="25" width="21.7109375" style="1905" hidden="1" customWidth="1"/>
    <col min="26" max="26" width="11.7109375" style="1905" hidden="1" customWidth="1"/>
    <col min="27" max="27" width="3.7109375" style="1905" hidden="1" customWidth="1"/>
    <col min="28" max="28" width="11.7109375" style="1905" hidden="1" customWidth="1"/>
    <col min="29" max="29" width="8.5703125" style="1905" hidden="1" customWidth="1"/>
    <col min="30" max="32" width="3.7109375" style="1905" customWidth="1"/>
    <col min="33" max="33" width="24.7109375" style="1905" customWidth="1"/>
    <col min="34" max="36" width="3.7109375" style="1905" customWidth="1"/>
    <col min="37" max="37" width="24.7109375" style="1905" customWidth="1"/>
    <col min="38" max="40" width="3.7109375" style="1905" customWidth="1"/>
    <col min="41" max="41" width="18.85546875" style="1905" customWidth="1"/>
    <col min="42" max="44" width="3.7109375" style="1905" customWidth="1"/>
    <col min="45" max="45" width="18.85546875" style="1905" customWidth="1"/>
    <col min="46" max="49" width="21.7109375" style="1905" customWidth="1"/>
    <col min="50" max="50" width="11.7109375" style="1905" customWidth="1"/>
    <col min="51" max="51" width="3.7109375" style="1905" customWidth="1"/>
    <col min="52" max="52" width="11.7109375" style="1905" customWidth="1"/>
    <col min="53" max="53" width="8.5703125" style="1905" hidden="1" customWidth="1"/>
    <col min="54" max="54" width="4.7109375" style="1905" customWidth="1"/>
    <col min="55" max="55" width="115.7109375" style="1905" customWidth="1"/>
    <col min="56" max="57" width="10.5703125" style="1820"/>
    <col min="58" max="58" width="11.140625" style="1820" customWidth="1"/>
    <col min="59" max="60" width="10.5703125" style="1820"/>
  </cols>
  <sheetData>
    <row r="1" spans="1:60" ht="14.25" hidden="1" customHeight="1">
      <c r="W1" s="253"/>
      <c r="Y1" s="253"/>
      <c r="Z1" s="253"/>
      <c r="AW1" s="253"/>
      <c r="AX1" s="253"/>
    </row>
    <row r="2" spans="1:60" ht="21" hidden="1" customHeight="1">
      <c r="A2" s="1279"/>
      <c r="B2" s="1279"/>
      <c r="C2" s="1279"/>
      <c r="D2" s="1279"/>
      <c r="E2" s="2270">
        <v>1</v>
      </c>
      <c r="F2" s="1279"/>
      <c r="G2" s="1279"/>
      <c r="H2" s="1279"/>
      <c r="I2" s="1279"/>
      <c r="J2" s="1279"/>
      <c r="K2" s="1279"/>
      <c r="L2" s="1280"/>
      <c r="M2" s="1281"/>
      <c r="N2" s="1281"/>
      <c r="O2" s="1281"/>
      <c r="P2" s="1325"/>
      <c r="Q2" s="786"/>
      <c r="R2" s="280"/>
      <c r="S2" s="1403" t="e">
        <f>INDEX(PT_DIFFERENTIATION_NUM_NTAR,MATCH(A2,PT_DIFFERENTIATION_NTAR_ID,0))</f>
        <v>#N/A</v>
      </c>
      <c r="T2" s="216" t="s">
        <v>122</v>
      </c>
      <c r="U2" s="218"/>
      <c r="V2" s="2257"/>
      <c r="W2" s="2257"/>
      <c r="X2" s="2257"/>
      <c r="Y2" s="2257"/>
      <c r="Z2" s="2257"/>
      <c r="AA2" s="2257"/>
      <c r="AB2" s="2257"/>
      <c r="AC2" s="2258"/>
      <c r="AD2" s="2256" t="e">
        <f>INDEX(PT_DIFFERENTIATION_NTAR,MATCH(A2,PT_DIFFERENTIATION_NTAR_ID,0))</f>
        <v>#N/A</v>
      </c>
      <c r="AE2" s="2257"/>
      <c r="AF2" s="2257"/>
      <c r="AG2" s="2257"/>
      <c r="AH2" s="2257"/>
      <c r="AI2" s="2257"/>
      <c r="AJ2" s="2257"/>
      <c r="AK2" s="2257"/>
      <c r="AL2" s="2257"/>
      <c r="AM2" s="2257"/>
      <c r="AN2" s="2257"/>
      <c r="AO2" s="2257"/>
      <c r="AP2" s="2257"/>
      <c r="AQ2" s="2257"/>
      <c r="AR2" s="2257"/>
      <c r="AS2" s="2257"/>
      <c r="AT2" s="2257"/>
      <c r="AU2" s="2257"/>
      <c r="AV2" s="2257"/>
      <c r="AW2" s="2257"/>
      <c r="AX2" s="2257"/>
      <c r="AY2" s="2257"/>
      <c r="AZ2" s="2257"/>
      <c r="BA2" s="2257"/>
      <c r="BB2" s="2258"/>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6"/>
      <c r="BF2" s="426" t="str">
        <f t="shared" ref="BF2:BF8" si="0">IF(T2="","",T2)</f>
        <v>Наименование тарифа</v>
      </c>
      <c r="BG2" s="426"/>
      <c r="BH2" s="426"/>
    </row>
    <row r="3" spans="1:60" ht="21" hidden="1" customHeight="1">
      <c r="A3" s="1279"/>
      <c r="B3" s="1279"/>
      <c r="C3" s="1279"/>
      <c r="D3" s="1279"/>
      <c r="E3" s="2271"/>
      <c r="F3" s="2270">
        <v>1</v>
      </c>
      <c r="G3" s="1279"/>
      <c r="H3" s="1279"/>
      <c r="I3" s="1279"/>
      <c r="J3" s="1279"/>
      <c r="K3" s="1279"/>
      <c r="L3" s="1280"/>
      <c r="M3" s="1281"/>
      <c r="N3" s="1281"/>
      <c r="O3" s="1281"/>
      <c r="P3" s="1326"/>
      <c r="Q3" s="1327"/>
      <c r="R3" s="278"/>
      <c r="S3" s="1403" t="e">
        <f>INDEX(PT_DIFFERENTIATION_NUM_TER,MATCH(B3,PT_DIFFERENTIATION_TER_ID,0))</f>
        <v>#N/A</v>
      </c>
      <c r="T3" s="228" t="s">
        <v>388</v>
      </c>
      <c r="U3" s="218"/>
      <c r="V3" s="2257"/>
      <c r="W3" s="2257"/>
      <c r="X3" s="2257"/>
      <c r="Y3" s="2257"/>
      <c r="Z3" s="2257"/>
      <c r="AA3" s="2257"/>
      <c r="AB3" s="2257"/>
      <c r="AC3" s="2258"/>
      <c r="AD3" s="2256" t="e">
        <f>INDEX(PT_DIFFERENTIATION_TER,MATCH(B3,PT_DIFFERENTIATION_TER_ID,0))</f>
        <v>#N/A</v>
      </c>
      <c r="AE3" s="2257"/>
      <c r="AF3" s="2257"/>
      <c r="AG3" s="2257"/>
      <c r="AH3" s="2257"/>
      <c r="AI3" s="2257"/>
      <c r="AJ3" s="2257"/>
      <c r="AK3" s="2257"/>
      <c r="AL3" s="2257"/>
      <c r="AM3" s="2257"/>
      <c r="AN3" s="2257"/>
      <c r="AO3" s="2257"/>
      <c r="AP3" s="2257"/>
      <c r="AQ3" s="2257"/>
      <c r="AR3" s="2257"/>
      <c r="AS3" s="2257"/>
      <c r="AT3" s="2257"/>
      <c r="AU3" s="2257"/>
      <c r="AV3" s="2257"/>
      <c r="AW3" s="2257"/>
      <c r="AX3" s="2257"/>
      <c r="AY3" s="2257"/>
      <c r="AZ3" s="2257"/>
      <c r="BA3" s="2257"/>
      <c r="BB3" s="2258"/>
      <c r="BC3" s="1177" t="s">
        <v>389</v>
      </c>
      <c r="BE3" s="426"/>
      <c r="BF3" s="426" t="str">
        <f t="shared" si="0"/>
        <v>Территория действия тарифа</v>
      </c>
      <c r="BG3" s="426"/>
      <c r="BH3" s="426"/>
    </row>
    <row r="4" spans="1:60" ht="33.75" hidden="1" customHeight="1">
      <c r="A4" s="1279"/>
      <c r="B4" s="1279"/>
      <c r="C4" s="1279"/>
      <c r="D4" s="1279"/>
      <c r="E4" s="2271"/>
      <c r="F4" s="2271"/>
      <c r="G4" s="2270">
        <v>1</v>
      </c>
      <c r="H4" s="1279"/>
      <c r="I4" s="1279"/>
      <c r="J4" s="1279"/>
      <c r="K4" s="1279"/>
      <c r="L4" s="1280"/>
      <c r="M4" s="1281"/>
      <c r="N4" s="1281"/>
      <c r="O4" s="1281"/>
      <c r="P4" s="1328"/>
      <c r="Q4" s="1327"/>
      <c r="R4" s="278"/>
      <c r="S4" s="1403" t="e">
        <f>INDEX(PT_DIFFERENTIATION_NUM_CS,MATCH(C4,PT_DIFFERENTIATION_CS_ID,0))</f>
        <v>#N/A</v>
      </c>
      <c r="T4" s="229" t="s">
        <v>520</v>
      </c>
      <c r="U4" s="218"/>
      <c r="V4" s="2257"/>
      <c r="W4" s="2257"/>
      <c r="X4" s="2257"/>
      <c r="Y4" s="2257"/>
      <c r="Z4" s="2257"/>
      <c r="AA4" s="2257"/>
      <c r="AB4" s="2257"/>
      <c r="AC4" s="2258"/>
      <c r="AD4" s="2256" t="e">
        <f>INDEX(PT_DIFFERENTIATION_CS,MATCH(C4,PT_DIFFERENTIATION_CS_ID,0))</f>
        <v>#N/A</v>
      </c>
      <c r="AE4" s="2257"/>
      <c r="AF4" s="2257"/>
      <c r="AG4" s="2257"/>
      <c r="AH4" s="2257"/>
      <c r="AI4" s="2257"/>
      <c r="AJ4" s="2257"/>
      <c r="AK4" s="2257"/>
      <c r="AL4" s="2257"/>
      <c r="AM4" s="2257"/>
      <c r="AN4" s="2257"/>
      <c r="AO4" s="2257"/>
      <c r="AP4" s="2257"/>
      <c r="AQ4" s="2257"/>
      <c r="AR4" s="2257"/>
      <c r="AS4" s="2257"/>
      <c r="AT4" s="2257"/>
      <c r="AU4" s="2257"/>
      <c r="AV4" s="2257"/>
      <c r="AW4" s="2257"/>
      <c r="AX4" s="2257"/>
      <c r="AY4" s="2257"/>
      <c r="AZ4" s="2257"/>
      <c r="BA4" s="2257"/>
      <c r="BB4" s="2258"/>
      <c r="BC4" s="1177" t="s">
        <v>521</v>
      </c>
      <c r="BE4" s="426"/>
      <c r="BF4" s="426" t="str">
        <f t="shared" si="0"/>
        <v>Наименование централизованной системы горячего водоснабжения</v>
      </c>
      <c r="BG4" s="426"/>
      <c r="BH4" s="426"/>
    </row>
    <row r="5" spans="1:60" s="1820" customFormat="1" ht="14.25" hidden="1" customHeight="1">
      <c r="A5" s="1260"/>
      <c r="B5" s="1260"/>
      <c r="C5" s="1260"/>
      <c r="D5" s="1260"/>
      <c r="E5" s="2271"/>
      <c r="F5" s="2271"/>
      <c r="G5" s="2271"/>
      <c r="H5" s="2270">
        <v>1</v>
      </c>
      <c r="I5" s="1260"/>
      <c r="J5" s="1260"/>
      <c r="K5" s="1260"/>
      <c r="L5" s="1263"/>
      <c r="M5" s="1233"/>
      <c r="N5" s="1233"/>
      <c r="O5" s="1233"/>
      <c r="P5" s="1407"/>
      <c r="Q5" s="1408"/>
      <c r="R5" s="282"/>
      <c r="S5" s="949"/>
      <c r="T5" s="1409"/>
      <c r="U5" s="1300"/>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01" t="s">
        <v>393</v>
      </c>
      <c r="BE5" s="426"/>
      <c r="BF5" s="426" t="str">
        <f t="shared" si="0"/>
        <v/>
      </c>
      <c r="BG5" s="426"/>
      <c r="BH5" s="426"/>
    </row>
    <row r="6" spans="1:60" s="1820" customFormat="1" ht="14.25" hidden="1" customHeight="1">
      <c r="A6" s="1260"/>
      <c r="B6" s="1260"/>
      <c r="C6" s="1260"/>
      <c r="D6" s="1260"/>
      <c r="E6" s="2271"/>
      <c r="F6" s="2271"/>
      <c r="G6" s="2271"/>
      <c r="H6" s="2271"/>
      <c r="I6" s="2268" t="str">
        <f>S5&amp;".1"</f>
        <v>.1</v>
      </c>
      <c r="J6" s="1260"/>
      <c r="K6" s="1260"/>
      <c r="L6" s="1263" t="s">
        <v>394</v>
      </c>
      <c r="M6" s="436"/>
      <c r="N6" s="436"/>
      <c r="O6" s="436"/>
      <c r="P6" s="2269">
        <v>1</v>
      </c>
      <c r="Q6" s="1391"/>
      <c r="R6" s="281"/>
      <c r="S6" s="949"/>
      <c r="T6" s="1299"/>
      <c r="U6" s="1300"/>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01"/>
      <c r="BE6" s="426"/>
      <c r="BF6" s="426" t="str">
        <f t="shared" si="0"/>
        <v/>
      </c>
      <c r="BG6" s="426"/>
      <c r="BH6" s="426"/>
    </row>
    <row r="7" spans="1:60" s="1820" customFormat="1" ht="14.25" hidden="1" customHeight="1">
      <c r="A7" s="1260"/>
      <c r="B7" s="1260"/>
      <c r="C7" s="1260"/>
      <c r="D7" s="1260"/>
      <c r="E7" s="2271"/>
      <c r="F7" s="2271"/>
      <c r="G7" s="2271"/>
      <c r="H7" s="2271"/>
      <c r="I7" s="2291"/>
      <c r="J7" s="2268" t="str">
        <f>S5&amp;".1"</f>
        <v>.1</v>
      </c>
      <c r="K7" s="1260"/>
      <c r="L7" s="1263"/>
      <c r="M7" s="436"/>
      <c r="N7" s="436"/>
      <c r="O7" s="436"/>
      <c r="P7" s="2269"/>
      <c r="Q7" s="2269">
        <v>1</v>
      </c>
      <c r="R7" s="282"/>
      <c r="S7" s="949"/>
      <c r="T7" s="1315"/>
      <c r="U7" s="1300"/>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01"/>
      <c r="BE7" s="426"/>
      <c r="BF7" s="426" t="str">
        <f t="shared" si="0"/>
        <v/>
      </c>
      <c r="BG7" s="426"/>
      <c r="BH7" s="426"/>
    </row>
    <row r="8" spans="1:60" ht="11.25" hidden="1" customHeight="1">
      <c r="A8" s="1279"/>
      <c r="B8" s="1279"/>
      <c r="C8" s="1279"/>
      <c r="D8" s="1279"/>
      <c r="E8" s="2271"/>
      <c r="F8" s="2271"/>
      <c r="G8" s="2271"/>
      <c r="H8" s="2271"/>
      <c r="I8" s="2291"/>
      <c r="J8" s="2291"/>
      <c r="K8" s="2268" t="e">
        <f>S4&amp;".1"</f>
        <v>#N/A</v>
      </c>
      <c r="L8" s="1280"/>
      <c r="P8" s="2269"/>
      <c r="Q8" s="2269"/>
      <c r="R8" s="2326">
        <v>1</v>
      </c>
      <c r="S8" s="2320" t="e">
        <f>$K8</f>
        <v>#N/A</v>
      </c>
      <c r="T8" s="2338"/>
      <c r="U8" s="218"/>
      <c r="V8" s="668"/>
      <c r="W8" s="1176"/>
      <c r="X8" s="668"/>
      <c r="Y8" s="1176"/>
      <c r="Z8" s="1644"/>
      <c r="AA8" s="1380" t="s">
        <v>61</v>
      </c>
      <c r="AB8" s="1644"/>
      <c r="AC8" s="1380" t="s">
        <v>61</v>
      </c>
      <c r="AD8" s="2195" t="s">
        <v>61</v>
      </c>
      <c r="AE8" s="2306"/>
      <c r="AF8" s="2224">
        <v>1</v>
      </c>
      <c r="AG8" s="2342"/>
      <c r="AH8" s="2124" t="s">
        <v>61</v>
      </c>
      <c r="AI8" s="2306"/>
      <c r="AJ8" s="2224">
        <v>1</v>
      </c>
      <c r="AK8" s="2341" t="s">
        <v>24</v>
      </c>
      <c r="AL8" s="2124" t="s">
        <v>61</v>
      </c>
      <c r="AM8" s="2214"/>
      <c r="AN8" s="2224">
        <v>1</v>
      </c>
      <c r="AO8" s="2335"/>
      <c r="AP8" s="2336" t="s">
        <v>61</v>
      </c>
      <c r="AQ8" s="231"/>
      <c r="AR8" s="1396">
        <v>1</v>
      </c>
      <c r="AS8" s="1402" t="s">
        <v>24</v>
      </c>
      <c r="AT8" s="668"/>
      <c r="AU8" s="1176"/>
      <c r="AV8" s="668"/>
      <c r="AW8" s="1176"/>
      <c r="AX8" s="1644"/>
      <c r="AY8" s="1380" t="s">
        <v>61</v>
      </c>
      <c r="AZ8" s="1644"/>
      <c r="BA8" s="1380" t="s">
        <v>61</v>
      </c>
      <c r="BB8" s="1265"/>
      <c r="BC8" s="2265" t="s">
        <v>491</v>
      </c>
      <c r="BE8" s="426"/>
      <c r="BF8" s="426" t="str">
        <f t="shared" si="0"/>
        <v/>
      </c>
      <c r="BG8" s="426"/>
      <c r="BH8" s="426"/>
    </row>
    <row r="9" spans="1:60" ht="11.25" hidden="1" customHeight="1">
      <c r="A9" s="1279"/>
      <c r="B9" s="1279"/>
      <c r="C9" s="1279"/>
      <c r="D9" s="1279"/>
      <c r="E9" s="2271"/>
      <c r="F9" s="2271"/>
      <c r="G9" s="2271"/>
      <c r="H9" s="2271"/>
      <c r="I9" s="2291"/>
      <c r="J9" s="2291"/>
      <c r="K9" s="2268"/>
      <c r="L9" s="1280"/>
      <c r="P9" s="2269"/>
      <c r="Q9" s="2269"/>
      <c r="R9" s="2326"/>
      <c r="S9" s="2321"/>
      <c r="T9" s="2339"/>
      <c r="U9" s="218"/>
      <c r="V9" s="1309"/>
      <c r="W9" s="1406"/>
      <c r="X9" s="1309"/>
      <c r="Y9" s="1406"/>
      <c r="Z9" s="1309"/>
      <c r="AA9" s="1309"/>
      <c r="AB9" s="1309"/>
      <c r="AC9" s="1309"/>
      <c r="AD9" s="2196"/>
      <c r="AE9" s="2306"/>
      <c r="AF9" s="2224"/>
      <c r="AG9" s="2342"/>
      <c r="AH9" s="2124"/>
      <c r="AI9" s="2306"/>
      <c r="AJ9" s="2224"/>
      <c r="AK9" s="2341"/>
      <c r="AL9" s="2124"/>
      <c r="AM9" s="2219"/>
      <c r="AN9" s="2224"/>
      <c r="AO9" s="2335"/>
      <c r="AP9" s="2337"/>
      <c r="AQ9" s="238"/>
      <c r="AR9" s="350"/>
      <c r="AS9" s="350" t="s">
        <v>492</v>
      </c>
      <c r="AT9" s="1309"/>
      <c r="AU9" s="1406"/>
      <c r="AV9" s="1309"/>
      <c r="AW9" s="1406"/>
      <c r="AX9" s="1309"/>
      <c r="AY9" s="1309"/>
      <c r="AZ9" s="1309"/>
      <c r="BA9" s="1309"/>
      <c r="BB9" s="1313"/>
      <c r="BC9" s="2266"/>
      <c r="BE9" s="426"/>
      <c r="BF9" s="426"/>
      <c r="BG9" s="426"/>
      <c r="BH9" s="426"/>
    </row>
    <row r="10" spans="1:60" ht="11.25" hidden="1" customHeight="1">
      <c r="A10" s="1279"/>
      <c r="B10" s="1279"/>
      <c r="C10" s="1279"/>
      <c r="D10" s="1279"/>
      <c r="E10" s="2271"/>
      <c r="F10" s="2271"/>
      <c r="G10" s="2271"/>
      <c r="H10" s="2271"/>
      <c r="I10" s="2291"/>
      <c r="J10" s="2291"/>
      <c r="K10" s="2268"/>
      <c r="L10" s="1280"/>
      <c r="P10" s="2269"/>
      <c r="Q10" s="2269"/>
      <c r="R10" s="2326"/>
      <c r="S10" s="2321"/>
      <c r="T10" s="2339"/>
      <c r="U10" s="218"/>
      <c r="V10" s="1309"/>
      <c r="W10" s="1406"/>
      <c r="X10" s="1309"/>
      <c r="Y10" s="1406"/>
      <c r="Z10" s="1309"/>
      <c r="AA10" s="1309"/>
      <c r="AB10" s="1309"/>
      <c r="AC10" s="1309"/>
      <c r="AD10" s="2196"/>
      <c r="AE10" s="2306"/>
      <c r="AF10" s="2224"/>
      <c r="AG10" s="2342"/>
      <c r="AH10" s="2124"/>
      <c r="AI10" s="2306"/>
      <c r="AJ10" s="2224"/>
      <c r="AK10" s="2341"/>
      <c r="AL10" s="2124"/>
      <c r="AM10" s="238"/>
      <c r="AN10" s="1410"/>
      <c r="AO10" s="1410" t="s">
        <v>493</v>
      </c>
      <c r="AP10" s="350"/>
      <c r="AQ10" s="350"/>
      <c r="AR10" s="350"/>
      <c r="AS10" s="1309"/>
      <c r="AT10" s="1309"/>
      <c r="AU10" s="1406"/>
      <c r="AV10" s="1309"/>
      <c r="AW10" s="1406"/>
      <c r="AX10" s="1309"/>
      <c r="AY10" s="1309"/>
      <c r="AZ10" s="1309"/>
      <c r="BA10" s="1309"/>
      <c r="BB10" s="1313"/>
      <c r="BC10" s="2266"/>
      <c r="BE10" s="426"/>
      <c r="BF10" s="426"/>
      <c r="BG10" s="426"/>
      <c r="BH10" s="426"/>
    </row>
    <row r="11" spans="1:60" ht="11.25" hidden="1" customHeight="1">
      <c r="A11" s="1279"/>
      <c r="B11" s="1279"/>
      <c r="C11" s="1279"/>
      <c r="D11" s="1279"/>
      <c r="E11" s="2271"/>
      <c r="F11" s="2271"/>
      <c r="G11" s="2271"/>
      <c r="H11" s="2271"/>
      <c r="I11" s="2291"/>
      <c r="J11" s="2291"/>
      <c r="K11" s="2268"/>
      <c r="L11" s="1280"/>
      <c r="P11" s="2269"/>
      <c r="Q11" s="2269"/>
      <c r="R11" s="2326"/>
      <c r="S11" s="2321"/>
      <c r="T11" s="2339"/>
      <c r="U11" s="218"/>
      <c r="V11" s="1309"/>
      <c r="W11" s="1406"/>
      <c r="X11" s="1309"/>
      <c r="Y11" s="1406"/>
      <c r="Z11" s="1309"/>
      <c r="AA11" s="1309"/>
      <c r="AB11" s="1309"/>
      <c r="AC11" s="1309"/>
      <c r="AD11" s="2196"/>
      <c r="AE11" s="2306"/>
      <c r="AF11" s="2224"/>
      <c r="AG11" s="2342"/>
      <c r="AH11" s="2124"/>
      <c r="AI11" s="212"/>
      <c r="AJ11" s="349"/>
      <c r="AK11" s="233" t="s">
        <v>494</v>
      </c>
      <c r="AL11" s="1309"/>
      <c r="AM11" s="1309"/>
      <c r="AN11" s="1309"/>
      <c r="AO11" s="1309"/>
      <c r="AP11" s="1309"/>
      <c r="AQ11" s="1309"/>
      <c r="AR11" s="1309"/>
      <c r="AS11" s="1309"/>
      <c r="AT11" s="1309"/>
      <c r="AU11" s="1406"/>
      <c r="AV11" s="1309"/>
      <c r="AW11" s="1406"/>
      <c r="AX11" s="1309"/>
      <c r="AY11" s="1309"/>
      <c r="AZ11" s="1309"/>
      <c r="BA11" s="1309"/>
      <c r="BB11" s="1313"/>
      <c r="BC11" s="2266"/>
      <c r="BE11" s="426"/>
      <c r="BF11" s="426"/>
      <c r="BG11" s="426"/>
      <c r="BH11" s="426"/>
    </row>
    <row r="12" spans="1:60" ht="11.25" hidden="1" customHeight="1">
      <c r="A12" s="1279"/>
      <c r="B12" s="1279"/>
      <c r="C12" s="1279"/>
      <c r="D12" s="1279"/>
      <c r="E12" s="2271"/>
      <c r="F12" s="2271"/>
      <c r="G12" s="2271"/>
      <c r="H12" s="2271"/>
      <c r="I12" s="2291"/>
      <c r="J12" s="2291"/>
      <c r="K12" s="2268"/>
      <c r="L12" s="1280"/>
      <c r="P12" s="2269"/>
      <c r="Q12" s="2269"/>
      <c r="R12" s="2326"/>
      <c r="S12" s="2322"/>
      <c r="T12" s="2340"/>
      <c r="U12" s="218"/>
      <c r="V12" s="1309"/>
      <c r="W12" s="1310" t="str">
        <f>Z8&amp;"-"&amp;AB8</f>
        <v>-</v>
      </c>
      <c r="X12" s="1309"/>
      <c r="Y12" s="1310" t="str">
        <f>AB8&amp;"-"&amp;AD8</f>
        <v>-да</v>
      </c>
      <c r="Z12" s="1309"/>
      <c r="AA12" s="1309"/>
      <c r="AB12" s="1309"/>
      <c r="AC12" s="1309"/>
      <c r="AD12" s="2129"/>
      <c r="AE12" s="232"/>
      <c r="AF12" s="234"/>
      <c r="AG12" s="350" t="s">
        <v>495</v>
      </c>
      <c r="AH12" s="1309"/>
      <c r="AI12" s="1309"/>
      <c r="AJ12" s="1309"/>
      <c r="AK12" s="1309"/>
      <c r="AL12" s="1309"/>
      <c r="AM12" s="1309"/>
      <c r="AN12" s="1309"/>
      <c r="AO12" s="1309"/>
      <c r="AP12" s="1309"/>
      <c r="AQ12" s="1309"/>
      <c r="AR12" s="1309"/>
      <c r="AS12" s="1309"/>
      <c r="AT12" s="1309"/>
      <c r="AU12" s="1310" t="str">
        <f>AX8&amp;"-"&amp;AZ8</f>
        <v>-</v>
      </c>
      <c r="AV12" s="1309"/>
      <c r="AW12" s="1310" t="str">
        <f>AZ8&amp;"-"&amp;BB8</f>
        <v>-</v>
      </c>
      <c r="AX12" s="1309"/>
      <c r="AY12" s="1309"/>
      <c r="AZ12" s="1309"/>
      <c r="BA12" s="1309"/>
      <c r="BB12" s="1312" t="str">
        <f>BE8&amp;"-"&amp;BG8</f>
        <v>-</v>
      </c>
      <c r="BC12" s="2266"/>
      <c r="BE12" s="426"/>
      <c r="BF12" s="426" t="str">
        <f t="shared" ref="BF12:BF18" si="1">IF(T12="","",T12)</f>
        <v/>
      </c>
      <c r="BG12" s="426"/>
      <c r="BH12" s="426"/>
    </row>
    <row r="13" spans="1:60" ht="11.25" hidden="1" customHeight="1">
      <c r="A13" s="1279"/>
      <c r="B13" s="1279"/>
      <c r="C13" s="1279"/>
      <c r="D13" s="1279"/>
      <c r="E13" s="2271"/>
      <c r="F13" s="2271"/>
      <c r="G13" s="2271"/>
      <c r="H13" s="2271"/>
      <c r="I13" s="2291"/>
      <c r="J13" s="2268"/>
      <c r="K13" s="1279"/>
      <c r="L13" s="1280"/>
      <c r="P13" s="2269"/>
      <c r="Q13" s="2269"/>
      <c r="R13" s="281"/>
      <c r="S13" s="1198"/>
      <c r="T13" s="205" t="s">
        <v>455</v>
      </c>
      <c r="U13" s="295"/>
      <c r="V13" s="295"/>
      <c r="W13" s="295"/>
      <c r="X13" s="295"/>
      <c r="Y13" s="295"/>
      <c r="Z13" s="295"/>
      <c r="AA13" s="295"/>
      <c r="AB13" s="295"/>
      <c r="AC13" s="295"/>
      <c r="AD13" s="1415"/>
      <c r="AE13" s="295"/>
      <c r="AF13" s="295"/>
      <c r="AG13" s="295"/>
      <c r="AH13" s="295"/>
      <c r="AI13" s="295"/>
      <c r="AJ13" s="295"/>
      <c r="AK13" s="295"/>
      <c r="AL13" s="295"/>
      <c r="AM13" s="295"/>
      <c r="AN13" s="295"/>
      <c r="AO13" s="295"/>
      <c r="AP13" s="295"/>
      <c r="AQ13" s="295"/>
      <c r="AR13" s="295"/>
      <c r="AS13" s="295"/>
      <c r="AT13" s="295"/>
      <c r="AU13" s="295"/>
      <c r="AV13" s="295"/>
      <c r="AW13" s="295"/>
      <c r="AX13" s="295"/>
      <c r="AY13" s="295"/>
      <c r="AZ13" s="295"/>
      <c r="BA13" s="295"/>
      <c r="BB13" s="249"/>
      <c r="BC13" s="2267"/>
      <c r="BE13" s="426"/>
      <c r="BF13" s="426" t="str">
        <f t="shared" si="1"/>
        <v>Добавить строку</v>
      </c>
      <c r="BG13" s="426"/>
      <c r="BH13" s="426"/>
    </row>
    <row r="14" spans="1:60" s="1820" customFormat="1" ht="14.25" hidden="1" customHeight="1">
      <c r="A14" s="1260"/>
      <c r="B14" s="1260"/>
      <c r="C14" s="1260"/>
      <c r="D14" s="1260"/>
      <c r="E14" s="2271"/>
      <c r="F14" s="2271"/>
      <c r="G14" s="2271"/>
      <c r="H14" s="2271"/>
      <c r="I14" s="2268"/>
      <c r="J14" s="1260"/>
      <c r="K14" s="1260"/>
      <c r="L14" s="1263"/>
      <c r="M14" s="436"/>
      <c r="N14" s="436"/>
      <c r="O14" s="436"/>
      <c r="P14" s="2269"/>
      <c r="Q14" s="1391"/>
      <c r="R14" s="281"/>
      <c r="S14" s="1302"/>
      <c r="T14" s="1303"/>
      <c r="U14" s="1304"/>
      <c r="V14" s="1304"/>
      <c r="W14" s="1304"/>
      <c r="X14" s="1304"/>
      <c r="Y14" s="1304"/>
      <c r="Z14" s="1304"/>
      <c r="AA14" s="1304"/>
      <c r="AB14" s="1304"/>
      <c r="AC14" s="1304"/>
      <c r="AD14" s="1304"/>
      <c r="AE14" s="1304"/>
      <c r="AF14" s="1304"/>
      <c r="AG14" s="1304"/>
      <c r="AH14" s="1304"/>
      <c r="AI14" s="1304"/>
      <c r="AJ14" s="1304"/>
      <c r="AK14" s="1304"/>
      <c r="AL14" s="1304"/>
      <c r="AM14" s="1304"/>
      <c r="AN14" s="1304"/>
      <c r="AO14" s="1304"/>
      <c r="AP14" s="1304"/>
      <c r="AQ14" s="1304"/>
      <c r="AR14" s="1304"/>
      <c r="AS14" s="1304"/>
      <c r="AT14" s="1304"/>
      <c r="AU14" s="1304"/>
      <c r="AV14" s="1304"/>
      <c r="AW14" s="1304"/>
      <c r="AX14" s="1304"/>
      <c r="AY14" s="1304"/>
      <c r="AZ14" s="1304"/>
      <c r="BA14" s="1304"/>
      <c r="BB14" s="1304"/>
      <c r="BC14" s="1305"/>
      <c r="BE14" s="426"/>
      <c r="BF14" s="426" t="str">
        <f t="shared" si="1"/>
        <v/>
      </c>
      <c r="BG14" s="426"/>
      <c r="BH14" s="426"/>
    </row>
    <row r="15" spans="1:60" s="1820" customFormat="1" ht="14.25" hidden="1" customHeight="1">
      <c r="A15" s="1260"/>
      <c r="B15" s="1260"/>
      <c r="C15" s="1260"/>
      <c r="D15" s="1260"/>
      <c r="E15" s="2271"/>
      <c r="F15" s="2271"/>
      <c r="G15" s="2271"/>
      <c r="H15" s="2270"/>
      <c r="I15" s="1260"/>
      <c r="J15" s="1260"/>
      <c r="K15" s="1260"/>
      <c r="L15" s="1263"/>
      <c r="M15" s="1233"/>
      <c r="N15" s="1233"/>
      <c r="O15" s="444"/>
      <c r="P15" s="313"/>
      <c r="Q15" s="1261"/>
      <c r="R15" s="1317"/>
      <c r="S15" s="1302"/>
      <c r="T15" s="1303"/>
      <c r="U15" s="1304"/>
      <c r="V15" s="1304"/>
      <c r="W15" s="1304"/>
      <c r="X15" s="1304"/>
      <c r="Y15" s="1304"/>
      <c r="Z15" s="1304"/>
      <c r="AA15" s="1304"/>
      <c r="AB15" s="1304"/>
      <c r="AC15" s="1304"/>
      <c r="AD15" s="1304"/>
      <c r="AE15" s="1304"/>
      <c r="AF15" s="1304"/>
      <c r="AG15" s="1304"/>
      <c r="AH15" s="1304"/>
      <c r="AI15" s="1304"/>
      <c r="AJ15" s="1304"/>
      <c r="AK15" s="1304"/>
      <c r="AL15" s="1304"/>
      <c r="AM15" s="1304"/>
      <c r="AN15" s="1304"/>
      <c r="AO15" s="1304"/>
      <c r="AP15" s="1304"/>
      <c r="AQ15" s="1304"/>
      <c r="AR15" s="1304"/>
      <c r="AS15" s="1304"/>
      <c r="AT15" s="1304"/>
      <c r="AU15" s="1304"/>
      <c r="AV15" s="1304"/>
      <c r="AW15" s="1304"/>
      <c r="AX15" s="1304"/>
      <c r="AY15" s="1304"/>
      <c r="AZ15" s="1304"/>
      <c r="BA15" s="1304"/>
      <c r="BB15" s="1304"/>
      <c r="BC15" s="1305"/>
      <c r="BE15" s="426"/>
      <c r="BF15" s="426" t="str">
        <f t="shared" si="1"/>
        <v/>
      </c>
      <c r="BG15" s="426"/>
      <c r="BH15" s="426"/>
    </row>
    <row r="16" spans="1:60" s="1930" customFormat="1" ht="14.25" hidden="1" customHeight="1">
      <c r="A16" s="1260"/>
      <c r="B16" s="1260"/>
      <c r="C16" s="1260"/>
      <c r="D16" s="1232"/>
      <c r="E16" s="2271"/>
      <c r="F16" s="2271"/>
      <c r="G16" s="2270"/>
      <c r="H16" s="1232"/>
      <c r="I16" s="1232"/>
      <c r="J16" s="1232"/>
      <c r="K16" s="1232"/>
      <c r="L16" s="1404"/>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06"/>
      <c r="BF16" s="706" t="str">
        <f t="shared" si="1"/>
        <v/>
      </c>
      <c r="BG16" s="706"/>
      <c r="BH16" s="706"/>
    </row>
    <row r="17" spans="1:60" s="1930" customFormat="1" ht="14.25" hidden="1" customHeight="1">
      <c r="A17" s="1260"/>
      <c r="B17" s="1260"/>
      <c r="C17" s="1232"/>
      <c r="D17" s="1232"/>
      <c r="E17" s="2271"/>
      <c r="F17" s="2270"/>
      <c r="G17" s="1232"/>
      <c r="H17" s="1232"/>
      <c r="I17" s="1232"/>
      <c r="J17" s="1232"/>
      <c r="K17" s="1232"/>
      <c r="L17" s="1404"/>
      <c r="M17" s="1239"/>
      <c r="N17" s="1239"/>
      <c r="P17" s="1234"/>
      <c r="Q17" s="1235"/>
      <c r="R17" s="1234"/>
      <c r="S17" s="1240"/>
      <c r="T17" s="1243" t="s">
        <v>215</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06"/>
      <c r="BF17" s="706" t="str">
        <f t="shared" si="1"/>
        <v>Добавить централизованную систему для дифференциации</v>
      </c>
      <c r="BG17" s="706"/>
      <c r="BH17" s="706"/>
    </row>
    <row r="18" spans="1:60" s="1820" customFormat="1" ht="14.25" hidden="1" customHeight="1">
      <c r="A18" s="1260"/>
      <c r="B18" s="1260"/>
      <c r="C18" s="1260"/>
      <c r="D18" s="1260"/>
      <c r="E18" s="2270"/>
      <c r="F18" s="1260"/>
      <c r="G18" s="1260"/>
      <c r="H18" s="1260"/>
      <c r="I18" s="1260"/>
      <c r="J18" s="1260"/>
      <c r="K18" s="1260"/>
      <c r="L18" s="1263"/>
      <c r="M18" s="1239"/>
      <c r="N18" s="1239"/>
      <c r="O18" s="444"/>
      <c r="P18" s="313"/>
      <c r="Q18" s="1261"/>
      <c r="R18" s="313"/>
      <c r="S18" s="1240"/>
      <c r="T18" s="1243" t="s">
        <v>216</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26"/>
      <c r="BF18" s="426" t="str">
        <f t="shared" si="1"/>
        <v>Добавить территорию для дифференциации</v>
      </c>
      <c r="BG18" s="426"/>
      <c r="BH18" s="426"/>
    </row>
    <row r="19" spans="1:60" ht="14.25" hidden="1" customHeight="1">
      <c r="AC19" s="253"/>
      <c r="BA19" s="253"/>
    </row>
    <row r="20" spans="1:60" ht="14.25" hidden="1" customHeight="1">
      <c r="AD20" s="1242" t="s">
        <v>56</v>
      </c>
      <c r="AE20" s="1411"/>
      <c r="AF20" s="473">
        <v>1</v>
      </c>
      <c r="AG20" s="1412"/>
      <c r="AH20" s="1242" t="s">
        <v>56</v>
      </c>
      <c r="AI20" s="1411"/>
      <c r="AJ20" s="473">
        <v>1</v>
      </c>
      <c r="AK20" s="1412"/>
      <c r="AL20" s="1242" t="s">
        <v>56</v>
      </c>
      <c r="AM20" s="1413"/>
      <c r="AN20" s="473">
        <v>1</v>
      </c>
      <c r="AO20" s="1414"/>
      <c r="AP20" s="1242" t="s">
        <v>56</v>
      </c>
      <c r="AQ20" s="1413"/>
      <c r="AR20" s="473">
        <v>1</v>
      </c>
      <c r="AS20" s="1414"/>
      <c r="AT20" s="250"/>
      <c r="AU20" s="318"/>
      <c r="AV20" s="250"/>
      <c r="AW20" s="318"/>
      <c r="AX20" s="1646"/>
      <c r="AY20" s="1395" t="s">
        <v>61</v>
      </c>
      <c r="AZ20" s="1646"/>
      <c r="BA20" s="1395" t="s">
        <v>61</v>
      </c>
    </row>
    <row r="21" spans="1:60" ht="14.25" hidden="1" customHeight="1">
      <c r="BD21" s="422"/>
      <c r="BE21" s="422"/>
      <c r="BF21" s="422"/>
      <c r="BG21" s="422"/>
      <c r="BH21" s="422"/>
    </row>
    <row r="22" spans="1:60" ht="14.25" hidden="1" customHeight="1">
      <c r="O22" s="1283" t="s">
        <v>406</v>
      </c>
      <c r="Z22" s="1262"/>
      <c r="AB22" s="1262"/>
      <c r="AC22" s="253"/>
      <c r="AX22" s="1262"/>
      <c r="AZ22" s="1262"/>
      <c r="BA22" s="253"/>
      <c r="BD22" s="422"/>
      <c r="BE22" s="422"/>
      <c r="BF22" s="422"/>
      <c r="BG22" s="422"/>
      <c r="BH22" s="422"/>
    </row>
    <row r="23" spans="1:60" ht="14.25" hidden="1" customHeight="1">
      <c r="AC23" s="253"/>
      <c r="BA23" s="253"/>
      <c r="BD23" s="422"/>
      <c r="BE23" s="422"/>
      <c r="BF23" s="422"/>
      <c r="BG23" s="422"/>
      <c r="BH23" s="422"/>
    </row>
    <row r="24" spans="1:60" s="1944" customFormat="1" ht="14.25" hidden="1" customHeight="1">
      <c r="M24" s="1418"/>
      <c r="N24" s="1418"/>
      <c r="O24" s="1419" t="s">
        <v>407</v>
      </c>
      <c r="P24" s="1418"/>
      <c r="Q24" s="1420"/>
      <c r="R24" s="1420"/>
      <c r="AA24" s="1417" t="s">
        <v>409</v>
      </c>
      <c r="AC24" s="1417" t="s">
        <v>410</v>
      </c>
      <c r="AD24" s="1417" t="s">
        <v>456</v>
      </c>
      <c r="AH24" s="1417" t="s">
        <v>456</v>
      </c>
      <c r="AK24" s="1417" t="s">
        <v>496</v>
      </c>
      <c r="AL24" s="1417" t="s">
        <v>456</v>
      </c>
      <c r="AP24" s="1417" t="s">
        <v>456</v>
      </c>
      <c r="AY24" s="1417" t="s">
        <v>409</v>
      </c>
      <c r="BA24" s="1417" t="s">
        <v>410</v>
      </c>
      <c r="BD24" s="1421"/>
      <c r="BE24" s="1421"/>
      <c r="BF24" s="1421"/>
      <c r="BG24" s="1421"/>
      <c r="BH24" s="1421"/>
    </row>
    <row r="25" spans="1:60" ht="14.25" hidden="1" customHeight="1">
      <c r="O25" s="1280"/>
      <c r="BD25" s="422"/>
      <c r="BE25" s="422"/>
      <c r="BF25" s="422"/>
      <c r="BG25" s="422"/>
      <c r="BH25" s="422"/>
    </row>
    <row r="26" spans="1:60" ht="14.25" hidden="1" customHeight="1">
      <c r="O26" s="1280"/>
      <c r="BD26" s="422"/>
      <c r="BE26" s="422"/>
      <c r="BF26" s="422"/>
      <c r="BG26" s="422"/>
      <c r="BH26" s="422"/>
    </row>
    <row r="27" spans="1:60" ht="14.25" customHeight="1">
      <c r="Q27" s="209"/>
      <c r="R27" s="305"/>
      <c r="S27" s="1195"/>
      <c r="T27" s="290"/>
      <c r="U27" s="290"/>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row>
    <row r="28" spans="1:60" ht="14.25" customHeight="1">
      <c r="Q28" s="209"/>
      <c r="R28" s="305"/>
      <c r="S28" s="2254"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152"/>
    </row>
    <row r="29" spans="1:60" ht="14.25" customHeight="1">
      <c r="Q29" s="209"/>
      <c r="R29" s="305"/>
      <c r="S29" s="2200" t="str">
        <f>IF(org=0,"Не определено",org)</f>
        <v>ПАО "Юнипро"</v>
      </c>
      <c r="T29" s="2200"/>
      <c r="U29" s="2200"/>
      <c r="V29" s="2200"/>
      <c r="W29" s="2200"/>
      <c r="X29" s="2200"/>
      <c r="Y29" s="2200"/>
      <c r="Z29" s="2200"/>
      <c r="AA29" s="2200"/>
      <c r="AB29" s="2200"/>
      <c r="AC29" s="2200"/>
      <c r="AD29" s="2200"/>
      <c r="AE29" s="2200"/>
      <c r="AF29" s="2200"/>
      <c r="AG29" s="2200"/>
      <c r="AH29" s="2200"/>
      <c r="AI29" s="2200"/>
      <c r="AJ29" s="2200"/>
      <c r="AK29" s="2200"/>
      <c r="AL29" s="2200"/>
      <c r="AM29" s="2200"/>
      <c r="AN29" s="2200"/>
      <c r="AO29" s="2200"/>
      <c r="AP29" s="2200"/>
      <c r="AQ29" s="2200"/>
      <c r="AR29" s="2200"/>
      <c r="AS29" s="2200"/>
      <c r="AT29" s="2200"/>
      <c r="AU29" s="2200"/>
      <c r="AV29" s="2200"/>
      <c r="AW29" s="2200"/>
      <c r="AX29" s="2200"/>
      <c r="AY29" s="2200"/>
      <c r="AZ29" s="2200"/>
      <c r="BA29" s="1152"/>
    </row>
    <row r="30" spans="1:60" ht="14.25" customHeight="1">
      <c r="Q30" s="209"/>
      <c r="R30" s="305"/>
      <c r="S30" s="1195"/>
      <c r="T30" s="290"/>
      <c r="U30" s="290"/>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435"/>
    </row>
    <row r="31" spans="1:60" s="1936" customFormat="1" ht="25.5" customHeight="1">
      <c r="A31" s="1284"/>
      <c r="B31" s="1284"/>
      <c r="C31" s="1284"/>
      <c r="D31" s="1284"/>
      <c r="E31" s="1284"/>
      <c r="F31" s="1284"/>
      <c r="G31" s="1284"/>
      <c r="H31" s="1284"/>
      <c r="I31" s="1284"/>
      <c r="J31" s="1284"/>
      <c r="K31" s="1284"/>
      <c r="L31" s="1285"/>
      <c r="M31" s="1284"/>
      <c r="N31" s="1284"/>
      <c r="O31" s="1284"/>
      <c r="P31" s="1284"/>
      <c r="Q31" s="1284"/>
      <c r="S31" s="2262" t="s">
        <v>38</v>
      </c>
      <c r="T31" s="2262"/>
      <c r="U31" s="1288"/>
      <c r="V31" s="2263" t="str">
        <f>IF(TITLE_NAME_OR_PR_CHANGE="",IF(TITLE_NAME_OR_PR="","",TITLE_NAME_OR_PR),TITLE_NAME_OR_PR_CHANGE)</f>
        <v>Министерство тарифной политики Красноярского края</v>
      </c>
      <c r="W31" s="2263"/>
      <c r="X31" s="2263"/>
      <c r="Y31" s="2263"/>
      <c r="Z31" s="2263"/>
      <c r="AA31" s="2263"/>
      <c r="AB31" s="2263"/>
      <c r="AC31" s="252"/>
      <c r="AD31" s="2263" t="str">
        <f>IF(TITLE_NAME_OR_PR_CHANGE="",IF(TITLE_NAME_OR_PR="","",TITLE_NAME_OR_PR),TITLE_NAME_OR_PR_CHANGE)</f>
        <v>Министерство тарифной политики Красноярского края</v>
      </c>
      <c r="AE31" s="2263"/>
      <c r="AF31" s="2263"/>
      <c r="AG31" s="2263"/>
      <c r="AH31" s="2263"/>
      <c r="AI31" s="2263"/>
      <c r="AJ31" s="2263"/>
      <c r="AK31" s="2263"/>
      <c r="AL31" s="2263"/>
      <c r="AM31" s="2263"/>
      <c r="AN31" s="2263"/>
      <c r="AO31" s="2263"/>
      <c r="AP31" s="2263"/>
      <c r="AQ31" s="2263"/>
      <c r="AR31" s="2263"/>
      <c r="AS31" s="2263"/>
      <c r="AT31" s="2263"/>
      <c r="AU31" s="2263"/>
      <c r="AV31" s="2263"/>
      <c r="AW31" s="2263"/>
      <c r="AX31" s="2263"/>
      <c r="AY31" s="2263"/>
      <c r="AZ31" s="2263"/>
      <c r="BA31" s="252"/>
      <c r="BB31" s="252"/>
      <c r="BC31" s="199"/>
      <c r="BD31" s="296"/>
      <c r="BE31" s="296"/>
      <c r="BF31" s="296"/>
      <c r="BG31" s="296"/>
      <c r="BH31" s="296"/>
    </row>
    <row r="32" spans="1:60" s="1936" customFormat="1" ht="18.75" customHeight="1">
      <c r="A32" s="1284"/>
      <c r="B32" s="1284"/>
      <c r="C32" s="1284"/>
      <c r="D32" s="1284"/>
      <c r="E32" s="1284"/>
      <c r="F32" s="1284"/>
      <c r="G32" s="1284"/>
      <c r="H32" s="1284"/>
      <c r="I32" s="1284"/>
      <c r="J32" s="1284"/>
      <c r="K32" s="1284"/>
      <c r="L32" s="1285"/>
      <c r="M32" s="1284"/>
      <c r="N32" s="1284"/>
      <c r="O32" s="1284"/>
      <c r="P32" s="1284"/>
      <c r="Q32" s="1284"/>
      <c r="S32" s="2262" t="s">
        <v>412</v>
      </c>
      <c r="T32" s="2262"/>
      <c r="U32" s="1288"/>
      <c r="V32" s="2272">
        <f>IF(TITLE_DATE_PR_CHANGE="",IF(TITLE_DATE_PR="","",TITLE_DATE_PR),TITLE_DATE_PR_CHANGE)</f>
        <v>45278.357847222222</v>
      </c>
      <c r="W32" s="2272"/>
      <c r="X32" s="2272"/>
      <c r="Y32" s="2272"/>
      <c r="Z32" s="2272"/>
      <c r="AA32" s="2272"/>
      <c r="AB32" s="2272"/>
      <c r="AC32" s="252"/>
      <c r="AD32" s="2272">
        <f>IF(TITLE_DATE_PR_CHANGE="",IF(TITLE_DATE_PR="","",TITLE_DATE_PR),TITLE_DATE_PR_CHANGE)</f>
        <v>45278.357847222222</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252"/>
      <c r="BB32" s="252"/>
      <c r="BC32" s="199"/>
      <c r="BD32" s="296"/>
      <c r="BE32" s="296"/>
      <c r="BF32" s="296"/>
      <c r="BG32" s="296"/>
      <c r="BH32" s="296"/>
    </row>
    <row r="33" spans="1:60" s="1936" customFormat="1" ht="18.75" customHeight="1">
      <c r="A33" s="1284"/>
      <c r="B33" s="1284"/>
      <c r="C33" s="1284"/>
      <c r="D33" s="1284"/>
      <c r="E33" s="1284"/>
      <c r="F33" s="1284"/>
      <c r="G33" s="1284"/>
      <c r="H33" s="1284"/>
      <c r="I33" s="1284"/>
      <c r="J33" s="1284"/>
      <c r="K33" s="1284"/>
      <c r="L33" s="1285"/>
      <c r="M33" s="1284"/>
      <c r="N33" s="1284"/>
      <c r="O33" s="1284"/>
      <c r="P33" s="1284"/>
      <c r="Q33" s="1284"/>
      <c r="S33" s="2262" t="s">
        <v>413</v>
      </c>
      <c r="T33" s="2262"/>
      <c r="U33" s="1288"/>
      <c r="V33" s="2263" t="str">
        <f>IF(TITLE_NUMBER_PR_CHANGE="",IF(TITLE_NUMBER_PR="","",TITLE_NUMBER_PR),TITLE_NUMBER_PR_CHANGE)</f>
        <v>924-в</v>
      </c>
      <c r="W33" s="2263"/>
      <c r="X33" s="2263"/>
      <c r="Y33" s="2263"/>
      <c r="Z33" s="2263"/>
      <c r="AA33" s="2263"/>
      <c r="AB33" s="2263"/>
      <c r="AC33" s="252"/>
      <c r="AD33" s="2263" t="str">
        <f>IF(TITLE_NUMBER_PR_CHANGE="",IF(TITLE_NUMBER_PR="","",TITLE_NUMBER_PR),TITLE_NUMBER_PR_CHANGE)</f>
        <v>924-в</v>
      </c>
      <c r="AE33" s="2263"/>
      <c r="AF33" s="2263"/>
      <c r="AG33" s="2263"/>
      <c r="AH33" s="2263"/>
      <c r="AI33" s="2263"/>
      <c r="AJ33" s="2263"/>
      <c r="AK33" s="2263"/>
      <c r="AL33" s="2263"/>
      <c r="AM33" s="2263"/>
      <c r="AN33" s="2263"/>
      <c r="AO33" s="2263"/>
      <c r="AP33" s="2263"/>
      <c r="AQ33" s="2263"/>
      <c r="AR33" s="2263"/>
      <c r="AS33" s="2263"/>
      <c r="AT33" s="2263"/>
      <c r="AU33" s="2263"/>
      <c r="AV33" s="2263"/>
      <c r="AW33" s="2263"/>
      <c r="AX33" s="2263"/>
      <c r="AY33" s="2263"/>
      <c r="AZ33" s="2263"/>
      <c r="BA33" s="252"/>
      <c r="BB33" s="252"/>
      <c r="BC33" s="199"/>
      <c r="BD33" s="296"/>
      <c r="BE33" s="296"/>
      <c r="BF33" s="296"/>
      <c r="BG33" s="296"/>
      <c r="BH33" s="296"/>
    </row>
    <row r="34" spans="1:60" s="1936" customFormat="1" ht="18.75" customHeight="1">
      <c r="A34" s="1284"/>
      <c r="B34" s="1284"/>
      <c r="C34" s="1284"/>
      <c r="D34" s="1284"/>
      <c r="E34" s="1284"/>
      <c r="F34" s="1284"/>
      <c r="G34" s="1284"/>
      <c r="H34" s="1284"/>
      <c r="I34" s="1284"/>
      <c r="J34" s="1284"/>
      <c r="K34" s="1284"/>
      <c r="L34" s="1285"/>
      <c r="M34" s="1284"/>
      <c r="N34" s="1284"/>
      <c r="O34" s="1284"/>
      <c r="P34" s="1284"/>
      <c r="Q34" s="1284"/>
      <c r="S34" s="2262" t="s">
        <v>40</v>
      </c>
      <c r="T34" s="2262"/>
      <c r="U34" s="1288"/>
      <c r="V34" s="2263" t="str">
        <f>IF(TITLE_IST_PUB_CHANGE="",IF(TITLE_IST_PUB="","",TITLE_IST_PUB),TITLE_IST_PUB_CHANGE)</f>
        <v>Официальный интернет-портал правовой информации Красноярского края (http://www.zakon.krskstate.ru/)</v>
      </c>
      <c r="W34" s="2263"/>
      <c r="X34" s="2263"/>
      <c r="Y34" s="2263"/>
      <c r="Z34" s="2263"/>
      <c r="AA34" s="2263"/>
      <c r="AB34" s="2263"/>
      <c r="AC34" s="252"/>
      <c r="AD34" s="2263" t="str">
        <f>IF(TITLE_IST_PUB_CHANGE="",IF(TITLE_IST_PUB="","",TITLE_IST_PUB),TITLE_IST_PUB_CHANGE)</f>
        <v>Официальный интернет-портал правовой информации Красноярского края (http://www.zakon.krskstate.ru/)</v>
      </c>
      <c r="AE34" s="2263"/>
      <c r="AF34" s="2263"/>
      <c r="AG34" s="2263"/>
      <c r="AH34" s="2263"/>
      <c r="AI34" s="2263"/>
      <c r="AJ34" s="2263"/>
      <c r="AK34" s="2263"/>
      <c r="AL34" s="2263"/>
      <c r="AM34" s="2263"/>
      <c r="AN34" s="2263"/>
      <c r="AO34" s="2263"/>
      <c r="AP34" s="2263"/>
      <c r="AQ34" s="2263"/>
      <c r="AR34" s="2263"/>
      <c r="AS34" s="2263"/>
      <c r="AT34" s="2263"/>
      <c r="AU34" s="2263"/>
      <c r="AV34" s="2263"/>
      <c r="AW34" s="2263"/>
      <c r="AX34" s="2263"/>
      <c r="AY34" s="2263"/>
      <c r="AZ34" s="2263"/>
      <c r="BA34" s="252"/>
      <c r="BB34" s="252"/>
      <c r="BC34" s="199"/>
      <c r="BD34" s="296"/>
      <c r="BE34" s="296"/>
      <c r="BF34" s="296"/>
      <c r="BG34" s="296"/>
      <c r="BH34" s="296"/>
    </row>
    <row r="35" spans="1:60" ht="14.25" hidden="1" customHeight="1">
      <c r="Q35" s="209"/>
      <c r="R35" s="305"/>
      <c r="S35" s="1195"/>
      <c r="T35" s="290"/>
      <c r="U35" s="290"/>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435"/>
    </row>
    <row r="36" spans="1:60" s="1936" customFormat="1" ht="18.75" hidden="1" customHeight="1">
      <c r="A36" s="1284"/>
      <c r="B36" s="1284"/>
      <c r="C36" s="1284"/>
      <c r="D36" s="1284"/>
      <c r="E36" s="1284"/>
      <c r="F36" s="1284"/>
      <c r="G36" s="1284"/>
      <c r="H36" s="1284"/>
      <c r="I36" s="1284"/>
      <c r="J36" s="1284"/>
      <c r="K36" s="1284"/>
      <c r="L36" s="1285"/>
      <c r="M36" s="1284"/>
      <c r="N36" s="1284"/>
      <c r="O36" s="1284"/>
      <c r="P36" s="1284"/>
      <c r="Q36" s="1284"/>
      <c r="S36" s="2262" t="s">
        <v>412</v>
      </c>
      <c r="T36" s="2262"/>
      <c r="U36" s="1288"/>
      <c r="V36" s="2272">
        <f>IF(TITLE_DATE_PR_CHANGE="",IF(TITLE_DATE_PR="","",TITLE_DATE_PR),TITLE_DATE_PR_CHANGE)</f>
        <v>45278.357847222222</v>
      </c>
      <c r="W36" s="2272"/>
      <c r="X36" s="2272"/>
      <c r="Y36" s="2272"/>
      <c r="Z36" s="2272"/>
      <c r="AA36" s="2272"/>
      <c r="AB36" s="2272"/>
      <c r="AC36" s="252"/>
      <c r="AD36" s="2272">
        <f>IF(TITLE_DATE_PR_CHANGE="",IF(TITLE_DATE_PR="","",TITLE_DATE_PR),TITLE_DATE_PR_CHANGE)</f>
        <v>45278.357847222222</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252"/>
      <c r="BB36" s="252"/>
      <c r="BC36" s="199"/>
      <c r="BD36" s="296"/>
      <c r="BE36" s="296"/>
      <c r="BF36" s="296"/>
      <c r="BG36" s="296"/>
      <c r="BH36" s="296"/>
    </row>
    <row r="37" spans="1:60" s="1936" customFormat="1" ht="18.75" hidden="1" customHeight="1">
      <c r="A37" s="1284"/>
      <c r="B37" s="1284"/>
      <c r="C37" s="1284"/>
      <c r="D37" s="1284"/>
      <c r="E37" s="1284"/>
      <c r="F37" s="1284"/>
      <c r="G37" s="1284"/>
      <c r="H37" s="1284"/>
      <c r="I37" s="1284"/>
      <c r="J37" s="1284"/>
      <c r="K37" s="1284"/>
      <c r="L37" s="1285"/>
      <c r="M37" s="1284"/>
      <c r="N37" s="1284"/>
      <c r="O37" s="1284"/>
      <c r="P37" s="1284"/>
      <c r="Q37" s="1284"/>
      <c r="S37" s="2262" t="s">
        <v>413</v>
      </c>
      <c r="T37" s="2262"/>
      <c r="U37" s="1288"/>
      <c r="V37" s="2263" t="str">
        <f>IF(TITLE_NUMBER_PR_CHANGE="",IF(TITLE_NUMBER_PR="","",TITLE_NUMBER_PR),TITLE_NUMBER_PR_CHANGE)</f>
        <v>924-в</v>
      </c>
      <c r="W37" s="2263"/>
      <c r="X37" s="2263"/>
      <c r="Y37" s="2263"/>
      <c r="Z37" s="2263"/>
      <c r="AA37" s="2263"/>
      <c r="AB37" s="2263"/>
      <c r="AC37" s="252"/>
      <c r="AD37" s="2263" t="str">
        <f>IF(TITLE_NUMBER_PR_CHANGE="",IF(TITLE_NUMBER_PR="","",TITLE_NUMBER_PR),TITLE_NUMBER_PR_CHANGE)</f>
        <v>924-в</v>
      </c>
      <c r="AE37" s="2263"/>
      <c r="AF37" s="2263"/>
      <c r="AG37" s="2263"/>
      <c r="AH37" s="2263"/>
      <c r="AI37" s="2263"/>
      <c r="AJ37" s="2263"/>
      <c r="AK37" s="2263"/>
      <c r="AL37" s="2263"/>
      <c r="AM37" s="2263"/>
      <c r="AN37" s="2263"/>
      <c r="AO37" s="2263"/>
      <c r="AP37" s="2263"/>
      <c r="AQ37" s="2263"/>
      <c r="AR37" s="2263"/>
      <c r="AS37" s="2263"/>
      <c r="AT37" s="2263"/>
      <c r="AU37" s="2263"/>
      <c r="AV37" s="2263"/>
      <c r="AW37" s="2263"/>
      <c r="AX37" s="2263"/>
      <c r="AY37" s="2263"/>
      <c r="AZ37" s="2263"/>
      <c r="BA37" s="252"/>
      <c r="BB37" s="252"/>
      <c r="BC37" s="199"/>
      <c r="BD37" s="296"/>
      <c r="BE37" s="296"/>
      <c r="BF37" s="296"/>
      <c r="BG37" s="296"/>
      <c r="BH37" s="296"/>
    </row>
    <row r="38" spans="1:60" s="1936" customFormat="1" ht="0" hidden="1" customHeight="1">
      <c r="A38" s="1284"/>
      <c r="B38" s="1284"/>
      <c r="C38" s="1284"/>
      <c r="D38" s="1284"/>
      <c r="E38" s="1284"/>
      <c r="F38" s="1284"/>
      <c r="G38" s="1284"/>
      <c r="H38" s="1284"/>
      <c r="I38" s="1284"/>
      <c r="J38" s="1284"/>
      <c r="K38" s="1284"/>
      <c r="L38" s="1285"/>
      <c r="M38" s="1284"/>
      <c r="N38" s="1284"/>
      <c r="O38" s="1284"/>
      <c r="P38" s="1284"/>
      <c r="Q38" s="1284"/>
      <c r="S38" s="248"/>
      <c r="T38" s="248"/>
      <c r="U38" s="1398"/>
      <c r="V38" s="252"/>
      <c r="W38" s="252"/>
      <c r="X38" s="252"/>
      <c r="Y38" s="252"/>
      <c r="Z38" s="252"/>
      <c r="AA38" s="252"/>
      <c r="AB38" s="252"/>
      <c r="AC38" s="197" t="s">
        <v>416</v>
      </c>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197" t="s">
        <v>416</v>
      </c>
      <c r="BD38" s="296"/>
      <c r="BE38" s="296"/>
      <c r="BF38" s="296"/>
      <c r="BG38" s="296"/>
      <c r="BH38" s="296"/>
    </row>
    <row r="39" spans="1:60" ht="14.25" customHeight="1">
      <c r="Q39" s="209"/>
      <c r="R39" s="305"/>
      <c r="S39" s="1195"/>
      <c r="T39" s="290"/>
      <c r="U39" s="1153"/>
      <c r="V39" s="2264"/>
      <c r="W39" s="2264"/>
      <c r="X39" s="2264"/>
      <c r="Y39" s="2264"/>
      <c r="Z39" s="2264"/>
      <c r="AA39" s="2264"/>
      <c r="AB39" s="2264"/>
      <c r="AC39" s="2264"/>
      <c r="AD39" s="2264"/>
      <c r="AE39" s="2264"/>
      <c r="AF39" s="2264"/>
      <c r="AG39" s="2264"/>
      <c r="AH39" s="2264"/>
      <c r="AI39" s="2264"/>
      <c r="AJ39" s="2264"/>
      <c r="AK39" s="2264"/>
      <c r="AL39" s="2264"/>
      <c r="AM39" s="2264"/>
      <c r="AN39" s="2264"/>
      <c r="AO39" s="2264"/>
      <c r="AP39" s="2264"/>
      <c r="AQ39" s="2264"/>
      <c r="AR39" s="2264"/>
      <c r="AS39" s="2264"/>
      <c r="AT39" s="2264"/>
      <c r="AU39" s="2264"/>
      <c r="AV39" s="2264"/>
      <c r="AW39" s="2264"/>
      <c r="AX39" s="2264"/>
      <c r="AY39" s="2264"/>
      <c r="AZ39" s="2264"/>
      <c r="BA39" s="2264"/>
    </row>
    <row r="40" spans="1:60" ht="14.25" customHeight="1">
      <c r="Q40" s="209"/>
      <c r="R40" s="305"/>
      <c r="S40" s="2143" t="s">
        <v>289</v>
      </c>
      <c r="T40" s="2143"/>
      <c r="U40" s="2143"/>
      <c r="V40" s="2143"/>
      <c r="W40" s="2143"/>
      <c r="X40" s="2143"/>
      <c r="Y40" s="2143"/>
      <c r="Z40" s="2143"/>
      <c r="AA40" s="2143"/>
      <c r="AB40" s="2143"/>
      <c r="AC40" s="2143"/>
      <c r="AD40" s="2143"/>
      <c r="AE40" s="2143"/>
      <c r="AF40" s="2143"/>
      <c r="AG40" s="2143"/>
      <c r="AH40" s="2143"/>
      <c r="AI40" s="2143"/>
      <c r="AJ40" s="2143"/>
      <c r="AK40" s="2143"/>
      <c r="AL40" s="2143"/>
      <c r="AM40" s="2143"/>
      <c r="AN40" s="2143"/>
      <c r="AO40" s="2143"/>
      <c r="AP40" s="2143"/>
      <c r="AQ40" s="2143"/>
      <c r="AR40" s="2143"/>
      <c r="AS40" s="2143"/>
      <c r="AT40" s="2143"/>
      <c r="AU40" s="2143"/>
      <c r="AV40" s="2143"/>
      <c r="AW40" s="2143"/>
      <c r="AX40" s="2143"/>
      <c r="AY40" s="2143"/>
      <c r="AZ40" s="2143"/>
      <c r="BA40" s="2143"/>
      <c r="BB40" s="2143"/>
      <c r="BC40" s="2143" t="s">
        <v>290</v>
      </c>
    </row>
    <row r="41" spans="1:60" ht="14.25" customHeight="1">
      <c r="Q41" s="209"/>
      <c r="R41" s="305"/>
      <c r="S41" s="2278" t="s">
        <v>87</v>
      </c>
      <c r="T41" s="2229" t="s">
        <v>497</v>
      </c>
      <c r="U41" s="219"/>
      <c r="V41" s="2279" t="s">
        <v>418</v>
      </c>
      <c r="W41" s="2280"/>
      <c r="X41" s="2280"/>
      <c r="Y41" s="2280"/>
      <c r="Z41" s="2280"/>
      <c r="AA41" s="2280"/>
      <c r="AB41" s="2281"/>
      <c r="AC41" s="2282" t="s">
        <v>419</v>
      </c>
      <c r="AD41" s="2308" t="s">
        <v>498</v>
      </c>
      <c r="AE41" s="2294"/>
      <c r="AF41" s="2294"/>
      <c r="AG41" s="2309"/>
      <c r="AH41" s="2308" t="s">
        <v>499</v>
      </c>
      <c r="AI41" s="2294"/>
      <c r="AJ41" s="2294"/>
      <c r="AK41" s="2309"/>
      <c r="AL41" s="2308" t="s">
        <v>500</v>
      </c>
      <c r="AM41" s="2294"/>
      <c r="AN41" s="2294"/>
      <c r="AO41" s="2309"/>
      <c r="AP41" s="2308" t="s">
        <v>501</v>
      </c>
      <c r="AQ41" s="2294"/>
      <c r="AR41" s="2294"/>
      <c r="AS41" s="2309"/>
      <c r="AT41" s="2279" t="s">
        <v>418</v>
      </c>
      <c r="AU41" s="2280"/>
      <c r="AV41" s="2280"/>
      <c r="AW41" s="2280"/>
      <c r="AX41" s="2280"/>
      <c r="AY41" s="2280"/>
      <c r="AZ41" s="2281"/>
      <c r="BA41" s="2282" t="s">
        <v>419</v>
      </c>
      <c r="BB41" s="2285" t="s">
        <v>421</v>
      </c>
      <c r="BC41" s="2143"/>
    </row>
    <row r="42" spans="1:60" ht="33.75" customHeight="1">
      <c r="Q42" s="209"/>
      <c r="R42" s="305"/>
      <c r="S42" s="2278"/>
      <c r="T42" s="2229"/>
      <c r="U42" s="938"/>
      <c r="V42" s="2214" t="s">
        <v>502</v>
      </c>
      <c r="W42" s="2215"/>
      <c r="X42" s="2214" t="s">
        <v>503</v>
      </c>
      <c r="Y42" s="2215"/>
      <c r="Z42" s="2214" t="s">
        <v>504</v>
      </c>
      <c r="AA42" s="2303"/>
      <c r="AB42" s="2215"/>
      <c r="AC42" s="2283"/>
      <c r="AD42" s="2310"/>
      <c r="AE42" s="2311"/>
      <c r="AF42" s="2311"/>
      <c r="AG42" s="2312"/>
      <c r="AH42" s="2310"/>
      <c r="AI42" s="2311"/>
      <c r="AJ42" s="2311"/>
      <c r="AK42" s="2312"/>
      <c r="AL42" s="2310"/>
      <c r="AM42" s="2311"/>
      <c r="AN42" s="2311"/>
      <c r="AO42" s="2312"/>
      <c r="AP42" s="2310"/>
      <c r="AQ42" s="2311"/>
      <c r="AR42" s="2311"/>
      <c r="AS42" s="2312"/>
      <c r="AT42" s="2214" t="s">
        <v>502</v>
      </c>
      <c r="AU42" s="2215"/>
      <c r="AV42" s="2214" t="s">
        <v>503</v>
      </c>
      <c r="AW42" s="2215"/>
      <c r="AX42" s="2214" t="s">
        <v>504</v>
      </c>
      <c r="AY42" s="2303"/>
      <c r="AZ42" s="2215"/>
      <c r="BA42" s="2283"/>
      <c r="BB42" s="2286"/>
      <c r="BC42" s="2143"/>
    </row>
    <row r="43" spans="1:60" ht="14.25" customHeight="1">
      <c r="Q43" s="209"/>
      <c r="R43" s="305"/>
      <c r="S43" s="2278"/>
      <c r="T43" s="2229"/>
      <c r="U43" s="938"/>
      <c r="V43" s="2219"/>
      <c r="W43" s="2220"/>
      <c r="X43" s="2219"/>
      <c r="Y43" s="2220"/>
      <c r="Z43" s="2219"/>
      <c r="AA43" s="2304"/>
      <c r="AB43" s="2220"/>
      <c r="AC43" s="2283"/>
      <c r="AD43" s="2310"/>
      <c r="AE43" s="2311"/>
      <c r="AF43" s="2311"/>
      <c r="AG43" s="2312"/>
      <c r="AH43" s="2310"/>
      <c r="AI43" s="2311"/>
      <c r="AJ43" s="2311"/>
      <c r="AK43" s="2312"/>
      <c r="AL43" s="2310"/>
      <c r="AM43" s="2311"/>
      <c r="AN43" s="2311"/>
      <c r="AO43" s="2312"/>
      <c r="AP43" s="2310"/>
      <c r="AQ43" s="2311"/>
      <c r="AR43" s="2311"/>
      <c r="AS43" s="2312"/>
      <c r="AT43" s="2219"/>
      <c r="AU43" s="2220"/>
      <c r="AV43" s="2219"/>
      <c r="AW43" s="2220"/>
      <c r="AX43" s="2219"/>
      <c r="AY43" s="2304"/>
      <c r="AZ43" s="2220"/>
      <c r="BA43" s="2283"/>
      <c r="BB43" s="2286"/>
      <c r="BC43" s="2143"/>
    </row>
    <row r="44" spans="1:60" ht="14.25" customHeight="1">
      <c r="A44" s="1286"/>
      <c r="B44" s="1286" t="s">
        <v>134</v>
      </c>
      <c r="C44" s="1286" t="s">
        <v>135</v>
      </c>
      <c r="D44" s="1286" t="s">
        <v>136</v>
      </c>
      <c r="E44" s="1280" t="s">
        <v>426</v>
      </c>
      <c r="F44" s="1280" t="s">
        <v>427</v>
      </c>
      <c r="G44" s="1280" t="s">
        <v>428</v>
      </c>
      <c r="H44" s="1280" t="s">
        <v>429</v>
      </c>
      <c r="I44" s="1280" t="s">
        <v>430</v>
      </c>
      <c r="J44" s="1280" t="s">
        <v>431</v>
      </c>
      <c r="K44" s="1280" t="s">
        <v>432</v>
      </c>
      <c r="L44" s="1280" t="s">
        <v>407</v>
      </c>
      <c r="Q44" s="209"/>
      <c r="R44" s="305"/>
      <c r="S44" s="2278"/>
      <c r="T44" s="2229"/>
      <c r="U44" s="220"/>
      <c r="V44" s="1389" t="s">
        <v>466</v>
      </c>
      <c r="W44" s="1389" t="s">
        <v>467</v>
      </c>
      <c r="X44" s="1389" t="s">
        <v>466</v>
      </c>
      <c r="Y44" s="1389" t="s">
        <v>467</v>
      </c>
      <c r="Z44" s="1399" t="s">
        <v>435</v>
      </c>
      <c r="AA44" s="2238" t="s">
        <v>436</v>
      </c>
      <c r="AB44" s="2240"/>
      <c r="AC44" s="2284"/>
      <c r="AD44" s="2313"/>
      <c r="AE44" s="2314"/>
      <c r="AF44" s="2314"/>
      <c r="AG44" s="2315"/>
      <c r="AH44" s="2313"/>
      <c r="AI44" s="2314"/>
      <c r="AJ44" s="2314"/>
      <c r="AK44" s="2315"/>
      <c r="AL44" s="2313"/>
      <c r="AM44" s="2314"/>
      <c r="AN44" s="2314"/>
      <c r="AO44" s="2315"/>
      <c r="AP44" s="2313"/>
      <c r="AQ44" s="2314"/>
      <c r="AR44" s="2314"/>
      <c r="AS44" s="2315"/>
      <c r="AT44" s="1389" t="s">
        <v>466</v>
      </c>
      <c r="AU44" s="1389" t="s">
        <v>467</v>
      </c>
      <c r="AV44" s="1389" t="s">
        <v>466</v>
      </c>
      <c r="AW44" s="1389" t="s">
        <v>467</v>
      </c>
      <c r="AX44" s="1399" t="s">
        <v>435</v>
      </c>
      <c r="AY44" s="2238" t="s">
        <v>436</v>
      </c>
      <c r="AZ44" s="2240"/>
      <c r="BA44" s="2284"/>
      <c r="BB44" s="2287"/>
      <c r="BC44" s="2143"/>
    </row>
    <row r="45" spans="1:60" s="1819" customFormat="1" ht="0" hidden="1" customHeight="1">
      <c r="A45" s="1286"/>
      <c r="B45" s="1286"/>
      <c r="C45" s="1286"/>
      <c r="D45" s="1286"/>
      <c r="E45" s="1286"/>
      <c r="F45" s="1286"/>
      <c r="G45" s="1286"/>
      <c r="H45" s="1286"/>
      <c r="I45" s="1286"/>
      <c r="J45" s="1286"/>
      <c r="K45" s="1286"/>
      <c r="L45" s="1280"/>
      <c r="M45" s="1278"/>
      <c r="N45" s="1278"/>
      <c r="O45" s="1278"/>
      <c r="P45" s="436"/>
      <c r="Q45" s="1171"/>
      <c r="R45" s="1171">
        <v>1</v>
      </c>
      <c r="S45" s="1197" t="s">
        <v>108</v>
      </c>
      <c r="T45" s="1172" t="s">
        <v>109</v>
      </c>
      <c r="U45" s="1154" t="str">
        <f ca="1">OFFSET(U45,0,-1)</f>
        <v>2</v>
      </c>
      <c r="V45" s="1392">
        <f t="shared" ref="V45:AA45" ca="1" si="2">OFFSET(V45,0,-1)+1</f>
        <v>3</v>
      </c>
      <c r="W45" s="1392">
        <f t="shared" ca="1" si="2"/>
        <v>4</v>
      </c>
      <c r="X45" s="1392">
        <f t="shared" ca="1" si="2"/>
        <v>5</v>
      </c>
      <c r="Y45" s="1392">
        <f t="shared" ca="1" si="2"/>
        <v>6</v>
      </c>
      <c r="Z45" s="1392">
        <f t="shared" ca="1" si="2"/>
        <v>7</v>
      </c>
      <c r="AA45" s="2277">
        <f t="shared" ca="1" si="2"/>
        <v>8</v>
      </c>
      <c r="AB45" s="2277"/>
      <c r="AC45" s="1392">
        <f ca="1">OFFSET(AC45,0,-2)+1</f>
        <v>9</v>
      </c>
      <c r="AD45" s="1392">
        <f ca="1">OFFSET(AD45,0,-1)+1</f>
        <v>10</v>
      </c>
      <c r="AE45" s="1392"/>
      <c r="AF45" s="1392"/>
      <c r="AG45" s="1392"/>
      <c r="AH45" s="1392"/>
      <c r="AI45" s="1392"/>
      <c r="AJ45" s="1392"/>
      <c r="AK45" s="1392"/>
      <c r="AL45" s="1392"/>
      <c r="AM45" s="1392"/>
      <c r="AN45" s="1392"/>
      <c r="AO45" s="1392"/>
      <c r="AP45" s="1392"/>
      <c r="AQ45" s="1392"/>
      <c r="AR45" s="1392"/>
      <c r="AS45" s="1392"/>
      <c r="AT45" s="1392"/>
      <c r="AU45" s="1392"/>
      <c r="AV45" s="1392"/>
      <c r="AW45" s="1392">
        <f ca="1">OFFSET(AW45,0,-1)+1</f>
        <v>1</v>
      </c>
      <c r="AX45" s="1392">
        <f ca="1">OFFSET(AX45,0,-1)+1</f>
        <v>2</v>
      </c>
      <c r="AY45" s="2277">
        <f ca="1">OFFSET(AY45,0,-1)+1</f>
        <v>3</v>
      </c>
      <c r="AZ45" s="2277"/>
      <c r="BA45" s="1392">
        <f ca="1">OFFSET(BA45,0,-2)+1</f>
        <v>4</v>
      </c>
      <c r="BB45" s="1154">
        <f ca="1">OFFSET(BB45,0,-1)</f>
        <v>4</v>
      </c>
      <c r="BC45" s="1392">
        <f ca="1">OFFSET(BC45,0,-1)+1</f>
        <v>5</v>
      </c>
      <c r="BD45" s="437"/>
      <c r="BE45" s="437"/>
      <c r="BF45" s="437"/>
      <c r="BG45" s="437"/>
      <c r="BH45" s="437"/>
    </row>
    <row r="46" spans="1:60" ht="21" customHeight="1">
      <c r="A46" s="1279" t="s">
        <v>250</v>
      </c>
      <c r="B46" s="1279"/>
      <c r="C46" s="1279"/>
      <c r="D46" s="1279"/>
      <c r="E46" s="2270">
        <v>1</v>
      </c>
      <c r="F46" s="1279"/>
      <c r="G46" s="1279"/>
      <c r="H46" s="1279"/>
      <c r="I46" s="1279"/>
      <c r="J46" s="1279"/>
      <c r="K46" s="1279"/>
      <c r="L46" s="1280"/>
      <c r="M46" s="1281"/>
      <c r="N46" s="1281"/>
      <c r="O46" s="1281"/>
      <c r="P46" s="1325"/>
      <c r="Q46" s="786"/>
      <c r="R46" s="280"/>
      <c r="S46" s="1403">
        <f>INDEX(PT_DIFFERENTIATION_NUM_NTAR,MATCH(A46,PT_DIFFERENTIATION_NTAR_ID,0))</f>
        <v>0</v>
      </c>
      <c r="T46" s="216" t="s">
        <v>122</v>
      </c>
      <c r="U46" s="218"/>
      <c r="V46" s="2257"/>
      <c r="W46" s="2257"/>
      <c r="X46" s="2257"/>
      <c r="Y46" s="2257"/>
      <c r="Z46" s="2257"/>
      <c r="AA46" s="2257"/>
      <c r="AB46" s="2257"/>
      <c r="AC46" s="2258"/>
      <c r="AD46" s="2256" t="str">
        <f>INDEX(PT_DIFFERENTIATION_NTAR,MATCH(A46,PT_DIFFERENTIATION_NTAR_ID,0))</f>
        <v/>
      </c>
      <c r="AE46" s="2257"/>
      <c r="AF46" s="2257"/>
      <c r="AG46" s="2257"/>
      <c r="AH46" s="2257"/>
      <c r="AI46" s="2257"/>
      <c r="AJ46" s="2257"/>
      <c r="AK46" s="2257"/>
      <c r="AL46" s="2257"/>
      <c r="AM46" s="2257"/>
      <c r="AN46" s="2257"/>
      <c r="AO46" s="2257"/>
      <c r="AP46" s="2257"/>
      <c r="AQ46" s="2257"/>
      <c r="AR46" s="2257"/>
      <c r="AS46" s="2257"/>
      <c r="AT46" s="2257"/>
      <c r="AU46" s="2257"/>
      <c r="AV46" s="2257"/>
      <c r="AW46" s="2257"/>
      <c r="AX46" s="2257"/>
      <c r="AY46" s="2257"/>
      <c r="AZ46" s="2257"/>
      <c r="BA46" s="2257"/>
      <c r="BB46" s="2258"/>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6"/>
      <c r="BF46" s="426" t="str">
        <f t="shared" ref="BF46:BF52" si="3">IF(T46="","",T46)</f>
        <v>Наименование тарифа</v>
      </c>
      <c r="BG46" s="426"/>
      <c r="BH46" s="426"/>
    </row>
    <row r="47" spans="1:60" ht="21" customHeight="1">
      <c r="A47" s="1279" t="s">
        <v>250</v>
      </c>
      <c r="B47" s="1279" t="s">
        <v>251</v>
      </c>
      <c r="C47" s="1279"/>
      <c r="D47" s="1279"/>
      <c r="E47" s="2271"/>
      <c r="F47" s="2270">
        <v>1</v>
      </c>
      <c r="G47" s="1279"/>
      <c r="H47" s="1279"/>
      <c r="I47" s="1279"/>
      <c r="J47" s="1279"/>
      <c r="K47" s="1279"/>
      <c r="L47" s="1280"/>
      <c r="M47" s="1281"/>
      <c r="N47" s="1281"/>
      <c r="O47" s="1281"/>
      <c r="P47" s="1326"/>
      <c r="Q47" s="1327"/>
      <c r="R47" s="278"/>
      <c r="S47" s="1403" t="str">
        <f>INDEX(PT_DIFFERENTIATION_NUM_TER,MATCH(B47,PT_DIFFERENTIATION_TER_ID,0))</f>
        <v>.</v>
      </c>
      <c r="T47" s="228" t="s">
        <v>388</v>
      </c>
      <c r="U47" s="218"/>
      <c r="V47" s="2257"/>
      <c r="W47" s="2257"/>
      <c r="X47" s="2257"/>
      <c r="Y47" s="2257"/>
      <c r="Z47" s="2257"/>
      <c r="AA47" s="2257"/>
      <c r="AB47" s="2257"/>
      <c r="AC47" s="2258"/>
      <c r="AD47" s="2256" t="str">
        <f>INDEX(PT_DIFFERENTIATION_TER,MATCH(B47,PT_DIFFERENTIATION_TER_ID,0))</f>
        <v/>
      </c>
      <c r="AE47" s="2257"/>
      <c r="AF47" s="2257"/>
      <c r="AG47" s="2257"/>
      <c r="AH47" s="2257"/>
      <c r="AI47" s="2257"/>
      <c r="AJ47" s="2257"/>
      <c r="AK47" s="2257"/>
      <c r="AL47" s="2257"/>
      <c r="AM47" s="2257"/>
      <c r="AN47" s="2257"/>
      <c r="AO47" s="2257"/>
      <c r="AP47" s="2257"/>
      <c r="AQ47" s="2257"/>
      <c r="AR47" s="2257"/>
      <c r="AS47" s="2257"/>
      <c r="AT47" s="2257"/>
      <c r="AU47" s="2257"/>
      <c r="AV47" s="2257"/>
      <c r="AW47" s="2257"/>
      <c r="AX47" s="2257"/>
      <c r="AY47" s="2257"/>
      <c r="AZ47" s="2257"/>
      <c r="BA47" s="2257"/>
      <c r="BB47" s="2258"/>
      <c r="BC47" s="1177" t="s">
        <v>389</v>
      </c>
      <c r="BE47" s="426"/>
      <c r="BF47" s="426" t="str">
        <f t="shared" si="3"/>
        <v>Территория действия тарифа</v>
      </c>
      <c r="BG47" s="426"/>
      <c r="BH47" s="426"/>
    </row>
    <row r="48" spans="1:60" ht="33.75" customHeight="1">
      <c r="A48" s="1279" t="s">
        <v>250</v>
      </c>
      <c r="B48" s="1279" t="s">
        <v>251</v>
      </c>
      <c r="C48" s="1279" t="s">
        <v>252</v>
      </c>
      <c r="D48" s="1279"/>
      <c r="E48" s="2271"/>
      <c r="F48" s="2271"/>
      <c r="G48" s="2270">
        <v>1</v>
      </c>
      <c r="H48" s="1279"/>
      <c r="I48" s="1279"/>
      <c r="J48" s="1279"/>
      <c r="K48" s="1279"/>
      <c r="L48" s="1280"/>
      <c r="M48" s="1281"/>
      <c r="N48" s="1281"/>
      <c r="O48" s="1281"/>
      <c r="P48" s="1328"/>
      <c r="Q48" s="1327"/>
      <c r="R48" s="278"/>
      <c r="S48" s="1403" t="str">
        <f>INDEX(PT_DIFFERENTIATION_NUM_CS,MATCH(C48,PT_DIFFERENTIATION_CS_ID,0))</f>
        <v>..</v>
      </c>
      <c r="T48" s="229" t="s">
        <v>520</v>
      </c>
      <c r="U48" s="218"/>
      <c r="V48" s="2257"/>
      <c r="W48" s="2257"/>
      <c r="X48" s="2257"/>
      <c r="Y48" s="2257"/>
      <c r="Z48" s="2257"/>
      <c r="AA48" s="2257"/>
      <c r="AB48" s="2257"/>
      <c r="AC48" s="2258"/>
      <c r="AD48" s="2256" t="str">
        <f>INDEX(PT_DIFFERENTIATION_CS,MATCH(C48,PT_DIFFERENTIATION_CS_ID,0))</f>
        <v/>
      </c>
      <c r="AE48" s="2257"/>
      <c r="AF48" s="2257"/>
      <c r="AG48" s="2257"/>
      <c r="AH48" s="2257"/>
      <c r="AI48" s="2257"/>
      <c r="AJ48" s="2257"/>
      <c r="AK48" s="2257"/>
      <c r="AL48" s="2257"/>
      <c r="AM48" s="2257"/>
      <c r="AN48" s="2257"/>
      <c r="AO48" s="2257"/>
      <c r="AP48" s="2257"/>
      <c r="AQ48" s="2257"/>
      <c r="AR48" s="2257"/>
      <c r="AS48" s="2257"/>
      <c r="AT48" s="2257"/>
      <c r="AU48" s="2257"/>
      <c r="AV48" s="2257"/>
      <c r="AW48" s="2257"/>
      <c r="AX48" s="2257"/>
      <c r="AY48" s="2257"/>
      <c r="AZ48" s="2257"/>
      <c r="BA48" s="2257"/>
      <c r="BB48" s="2258"/>
      <c r="BC48" s="1177" t="s">
        <v>521</v>
      </c>
      <c r="BE48" s="426"/>
      <c r="BF48" s="426" t="str">
        <f t="shared" si="3"/>
        <v>Наименование централизованной системы горячего водоснабжения</v>
      </c>
      <c r="BG48" s="426"/>
      <c r="BH48" s="426"/>
    </row>
    <row r="49" spans="1:60" s="1820" customFormat="1" ht="0" hidden="1" customHeight="1">
      <c r="A49" s="1260" t="s">
        <v>250</v>
      </c>
      <c r="B49" s="1260" t="s">
        <v>251</v>
      </c>
      <c r="C49" s="1260" t="s">
        <v>252</v>
      </c>
      <c r="D49" s="1260" t="s">
        <v>528</v>
      </c>
      <c r="E49" s="2271"/>
      <c r="F49" s="2271"/>
      <c r="G49" s="2271"/>
      <c r="H49" s="2270">
        <v>1</v>
      </c>
      <c r="I49" s="1260"/>
      <c r="J49" s="1260"/>
      <c r="K49" s="1260"/>
      <c r="L49" s="1263"/>
      <c r="M49" s="1233"/>
      <c r="N49" s="1233"/>
      <c r="O49" s="1233"/>
      <c r="P49" s="1407"/>
      <c r="Q49" s="1408"/>
      <c r="R49" s="282"/>
      <c r="S49" s="949"/>
      <c r="T49" s="1409"/>
      <c r="U49" s="1300"/>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01" t="s">
        <v>393</v>
      </c>
      <c r="BE49" s="426"/>
      <c r="BF49" s="426" t="str">
        <f t="shared" si="3"/>
        <v/>
      </c>
      <c r="BG49" s="426"/>
      <c r="BH49" s="426"/>
    </row>
    <row r="50" spans="1:60" s="1820" customFormat="1" ht="0" hidden="1" customHeight="1">
      <c r="A50" s="1260" t="s">
        <v>250</v>
      </c>
      <c r="B50" s="1260" t="s">
        <v>251</v>
      </c>
      <c r="C50" s="1260" t="s">
        <v>252</v>
      </c>
      <c r="D50" s="1260" t="s">
        <v>528</v>
      </c>
      <c r="E50" s="2271"/>
      <c r="F50" s="2271"/>
      <c r="G50" s="2271"/>
      <c r="H50" s="2271"/>
      <c r="I50" s="2268" t="str">
        <f>S49&amp;".1"</f>
        <v>.1</v>
      </c>
      <c r="J50" s="1260"/>
      <c r="K50" s="1260"/>
      <c r="L50" s="1263" t="s">
        <v>394</v>
      </c>
      <c r="M50" s="436"/>
      <c r="N50" s="436"/>
      <c r="O50" s="436"/>
      <c r="P50" s="2269">
        <v>1</v>
      </c>
      <c r="Q50" s="1391"/>
      <c r="R50" s="281"/>
      <c r="S50" s="949"/>
      <c r="T50" s="1299"/>
      <c r="U50" s="1300"/>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01"/>
      <c r="BE50" s="426"/>
      <c r="BF50" s="426" t="str">
        <f t="shared" si="3"/>
        <v/>
      </c>
      <c r="BG50" s="426"/>
      <c r="BH50" s="426"/>
    </row>
    <row r="51" spans="1:60" s="1820" customFormat="1" ht="0" hidden="1" customHeight="1">
      <c r="A51" s="1260" t="s">
        <v>250</v>
      </c>
      <c r="B51" s="1260" t="s">
        <v>251</v>
      </c>
      <c r="C51" s="1260" t="s">
        <v>252</v>
      </c>
      <c r="D51" s="1260" t="s">
        <v>528</v>
      </c>
      <c r="E51" s="2271"/>
      <c r="F51" s="2271"/>
      <c r="G51" s="2271"/>
      <c r="H51" s="2271"/>
      <c r="I51" s="2291"/>
      <c r="J51" s="2268" t="str">
        <f>S49&amp;".1"</f>
        <v>.1</v>
      </c>
      <c r="K51" s="1260"/>
      <c r="L51" s="1263"/>
      <c r="M51" s="436"/>
      <c r="N51" s="436"/>
      <c r="O51" s="436"/>
      <c r="P51" s="2269"/>
      <c r="Q51" s="2269">
        <v>1</v>
      </c>
      <c r="R51" s="282"/>
      <c r="S51" s="949"/>
      <c r="T51" s="1315"/>
      <c r="U51" s="1300"/>
      <c r="V51" s="2298"/>
      <c r="W51" s="2298"/>
      <c r="X51" s="2298"/>
      <c r="Y51" s="2298"/>
      <c r="Z51" s="2298"/>
      <c r="AA51" s="2298"/>
      <c r="AB51" s="2298"/>
      <c r="AC51" s="2299"/>
      <c r="AD51" s="2297"/>
      <c r="AE51" s="2298"/>
      <c r="AF51" s="2298"/>
      <c r="AG51" s="2298"/>
      <c r="AH51" s="2298"/>
      <c r="AI51" s="2298"/>
      <c r="AJ51" s="2298"/>
      <c r="AK51" s="2298"/>
      <c r="AL51" s="2298"/>
      <c r="AM51" s="2298"/>
      <c r="AN51" s="2343"/>
      <c r="AO51" s="2343"/>
      <c r="AP51" s="2298"/>
      <c r="AQ51" s="2298"/>
      <c r="AR51" s="2298"/>
      <c r="AS51" s="2298"/>
      <c r="AT51" s="2298"/>
      <c r="AU51" s="2298"/>
      <c r="AV51" s="2298"/>
      <c r="AW51" s="2298"/>
      <c r="AX51" s="2298"/>
      <c r="AY51" s="2298"/>
      <c r="AZ51" s="2298"/>
      <c r="BA51" s="2298"/>
      <c r="BB51" s="2299"/>
      <c r="BC51" s="1301"/>
      <c r="BE51" s="426"/>
      <c r="BF51" s="426" t="str">
        <f t="shared" si="3"/>
        <v/>
      </c>
      <c r="BG51" s="426"/>
      <c r="BH51" s="426"/>
    </row>
    <row r="52" spans="1:60" ht="11.25" customHeight="1">
      <c r="A52" s="1279" t="s">
        <v>250</v>
      </c>
      <c r="B52" s="1279" t="s">
        <v>251</v>
      </c>
      <c r="C52" s="1279" t="s">
        <v>252</v>
      </c>
      <c r="D52" s="1279" t="s">
        <v>528</v>
      </c>
      <c r="E52" s="2271"/>
      <c r="F52" s="2271"/>
      <c r="G52" s="2271"/>
      <c r="H52" s="2271"/>
      <c r="I52" s="2291"/>
      <c r="J52" s="2291"/>
      <c r="K52" s="2268" t="str">
        <f>S48&amp;".1"</f>
        <v>...1</v>
      </c>
      <c r="L52" s="1280"/>
      <c r="P52" s="2269"/>
      <c r="Q52" s="2269"/>
      <c r="R52" s="282">
        <v>1</v>
      </c>
      <c r="S52" s="2320" t="str">
        <f>$K52</f>
        <v>...1</v>
      </c>
      <c r="T52" s="2338"/>
      <c r="U52" s="218"/>
      <c r="V52" s="668"/>
      <c r="W52" s="1176"/>
      <c r="X52" s="668"/>
      <c r="Y52" s="1176"/>
      <c r="Z52" s="1644"/>
      <c r="AA52" s="1380" t="s">
        <v>61</v>
      </c>
      <c r="AB52" s="1644"/>
      <c r="AC52" s="1380" t="s">
        <v>61</v>
      </c>
      <c r="AD52" s="2195" t="s">
        <v>61</v>
      </c>
      <c r="AE52" s="2306"/>
      <c r="AF52" s="2224">
        <v>1</v>
      </c>
      <c r="AG52" s="2342"/>
      <c r="AH52" s="2124" t="s">
        <v>61</v>
      </c>
      <c r="AI52" s="2306"/>
      <c r="AJ52" s="2224">
        <v>1</v>
      </c>
      <c r="AK52" s="2341" t="s">
        <v>24</v>
      </c>
      <c r="AL52" s="2124" t="s">
        <v>61</v>
      </c>
      <c r="AM52" s="2214"/>
      <c r="AN52" s="2224">
        <v>1</v>
      </c>
      <c r="AO52" s="2335"/>
      <c r="AP52" s="2336" t="s">
        <v>61</v>
      </c>
      <c r="AQ52" s="231"/>
      <c r="AR52" s="1396">
        <v>1</v>
      </c>
      <c r="AS52" s="1402" t="s">
        <v>24</v>
      </c>
      <c r="AT52" s="668"/>
      <c r="AU52" s="1176"/>
      <c r="AV52" s="668"/>
      <c r="AW52" s="1176"/>
      <c r="AX52" s="1644"/>
      <c r="AY52" s="1380" t="s">
        <v>61</v>
      </c>
      <c r="AZ52" s="1644"/>
      <c r="BA52" s="1380" t="s">
        <v>61</v>
      </c>
      <c r="BB52" s="1265"/>
      <c r="BC52" s="2265" t="s">
        <v>491</v>
      </c>
      <c r="BE52" s="426"/>
      <c r="BF52" s="426" t="str">
        <f t="shared" si="3"/>
        <v/>
      </c>
      <c r="BG52" s="426"/>
      <c r="BH52" s="426"/>
    </row>
    <row r="53" spans="1:60" ht="11.25" customHeight="1">
      <c r="A53" s="1279"/>
      <c r="B53" s="1279"/>
      <c r="C53" s="1279"/>
      <c r="D53" s="1279"/>
      <c r="E53" s="2271"/>
      <c r="F53" s="2271"/>
      <c r="G53" s="2271"/>
      <c r="H53" s="2271"/>
      <c r="I53" s="2291"/>
      <c r="J53" s="2291"/>
      <c r="K53" s="2268"/>
      <c r="L53" s="1280"/>
      <c r="P53" s="2269"/>
      <c r="Q53" s="2269"/>
      <c r="R53" s="282"/>
      <c r="S53" s="2321"/>
      <c r="T53" s="2339"/>
      <c r="U53" s="218"/>
      <c r="V53" s="1309"/>
      <c r="W53" s="1406"/>
      <c r="X53" s="1309"/>
      <c r="Y53" s="1406"/>
      <c r="Z53" s="1309"/>
      <c r="AA53" s="1309"/>
      <c r="AB53" s="1309"/>
      <c r="AC53" s="1309"/>
      <c r="AD53" s="2196"/>
      <c r="AE53" s="2306"/>
      <c r="AF53" s="2224"/>
      <c r="AG53" s="2342"/>
      <c r="AH53" s="2124"/>
      <c r="AI53" s="2306"/>
      <c r="AJ53" s="2224"/>
      <c r="AK53" s="2341"/>
      <c r="AL53" s="2124"/>
      <c r="AM53" s="2219"/>
      <c r="AN53" s="2224"/>
      <c r="AO53" s="2335"/>
      <c r="AP53" s="2337"/>
      <c r="AQ53" s="238"/>
      <c r="AR53" s="350"/>
      <c r="AS53" s="350" t="s">
        <v>492</v>
      </c>
      <c r="AT53" s="1309"/>
      <c r="AU53" s="1406"/>
      <c r="AV53" s="1309"/>
      <c r="AW53" s="1406"/>
      <c r="AX53" s="1309"/>
      <c r="AY53" s="1309"/>
      <c r="AZ53" s="1309"/>
      <c r="BA53" s="1309"/>
      <c r="BB53" s="1313"/>
      <c r="BC53" s="2266"/>
      <c r="BE53" s="426"/>
      <c r="BF53" s="426"/>
      <c r="BG53" s="426"/>
      <c r="BH53" s="426"/>
    </row>
    <row r="54" spans="1:60" ht="11.25" customHeight="1">
      <c r="A54" s="1279" t="s">
        <v>250</v>
      </c>
      <c r="B54" s="1279"/>
      <c r="C54" s="1279"/>
      <c r="D54" s="1279"/>
      <c r="E54" s="2271"/>
      <c r="F54" s="2271"/>
      <c r="G54" s="2271"/>
      <c r="H54" s="2271"/>
      <c r="I54" s="2291"/>
      <c r="J54" s="2291"/>
      <c r="K54" s="2268"/>
      <c r="L54" s="1280"/>
      <c r="P54" s="2269"/>
      <c r="Q54" s="2269"/>
      <c r="R54" s="282"/>
      <c r="S54" s="2321"/>
      <c r="T54" s="2339"/>
      <c r="U54" s="218"/>
      <c r="V54" s="1309"/>
      <c r="W54" s="1406"/>
      <c r="X54" s="1309"/>
      <c r="Y54" s="1406"/>
      <c r="Z54" s="1309"/>
      <c r="AA54" s="1309"/>
      <c r="AB54" s="1309"/>
      <c r="AC54" s="1309"/>
      <c r="AD54" s="2196"/>
      <c r="AE54" s="2306"/>
      <c r="AF54" s="2224"/>
      <c r="AG54" s="2342"/>
      <c r="AH54" s="2124"/>
      <c r="AI54" s="2306"/>
      <c r="AJ54" s="2224"/>
      <c r="AK54" s="2341"/>
      <c r="AL54" s="2124"/>
      <c r="AM54" s="238"/>
      <c r="AN54" s="1410"/>
      <c r="AO54" s="1410" t="s">
        <v>493</v>
      </c>
      <c r="AP54" s="350"/>
      <c r="AQ54" s="350"/>
      <c r="AR54" s="350"/>
      <c r="AS54" s="1309"/>
      <c r="AT54" s="1309"/>
      <c r="AU54" s="1406"/>
      <c r="AV54" s="1309"/>
      <c r="AW54" s="1406"/>
      <c r="AX54" s="1309"/>
      <c r="AY54" s="1309"/>
      <c r="AZ54" s="1309"/>
      <c r="BA54" s="1309"/>
      <c r="BB54" s="1313"/>
      <c r="BC54" s="2266"/>
      <c r="BE54" s="426"/>
      <c r="BF54" s="426"/>
      <c r="BG54" s="426"/>
      <c r="BH54" s="426"/>
    </row>
    <row r="55" spans="1:60" ht="11.25" customHeight="1">
      <c r="A55" s="1279" t="s">
        <v>250</v>
      </c>
      <c r="B55" s="1279"/>
      <c r="C55" s="1279"/>
      <c r="D55" s="1279"/>
      <c r="E55" s="2271"/>
      <c r="F55" s="2271"/>
      <c r="G55" s="2271"/>
      <c r="H55" s="2271"/>
      <c r="I55" s="2291"/>
      <c r="J55" s="2291"/>
      <c r="K55" s="2268"/>
      <c r="L55" s="1280"/>
      <c r="P55" s="2269"/>
      <c r="Q55" s="2269"/>
      <c r="R55" s="282"/>
      <c r="S55" s="2321"/>
      <c r="T55" s="2339"/>
      <c r="U55" s="218"/>
      <c r="V55" s="1309"/>
      <c r="W55" s="1406"/>
      <c r="X55" s="1309"/>
      <c r="Y55" s="1406"/>
      <c r="Z55" s="1309"/>
      <c r="AA55" s="1309"/>
      <c r="AB55" s="1309"/>
      <c r="AC55" s="1309"/>
      <c r="AD55" s="2196"/>
      <c r="AE55" s="2306"/>
      <c r="AF55" s="2224"/>
      <c r="AG55" s="2342"/>
      <c r="AH55" s="2124"/>
      <c r="AI55" s="212"/>
      <c r="AJ55" s="349"/>
      <c r="AK55" s="233" t="s">
        <v>494</v>
      </c>
      <c r="AL55" s="1309"/>
      <c r="AM55" s="1309"/>
      <c r="AN55" s="1309"/>
      <c r="AO55" s="1309"/>
      <c r="AP55" s="1309"/>
      <c r="AQ55" s="1309"/>
      <c r="AR55" s="1309"/>
      <c r="AS55" s="1309"/>
      <c r="AT55" s="1309"/>
      <c r="AU55" s="1406"/>
      <c r="AV55" s="1309"/>
      <c r="AW55" s="1406"/>
      <c r="AX55" s="1309"/>
      <c r="AY55" s="1309"/>
      <c r="AZ55" s="1309"/>
      <c r="BA55" s="1309"/>
      <c r="BB55" s="1313"/>
      <c r="BC55" s="2266"/>
      <c r="BE55" s="426"/>
      <c r="BF55" s="426"/>
      <c r="BG55" s="426"/>
      <c r="BH55" s="426"/>
    </row>
    <row r="56" spans="1:60" ht="11.25" customHeight="1">
      <c r="A56" s="1279" t="s">
        <v>250</v>
      </c>
      <c r="B56" s="1279" t="s">
        <v>251</v>
      </c>
      <c r="C56" s="1279" t="s">
        <v>252</v>
      </c>
      <c r="D56" s="1279" t="s">
        <v>528</v>
      </c>
      <c r="E56" s="2271"/>
      <c r="F56" s="2271"/>
      <c r="G56" s="2271"/>
      <c r="H56" s="2271"/>
      <c r="I56" s="2291"/>
      <c r="J56" s="2291"/>
      <c r="K56" s="2268"/>
      <c r="L56" s="1280"/>
      <c r="P56" s="2269"/>
      <c r="Q56" s="2269"/>
      <c r="R56" s="282"/>
      <c r="S56" s="2322"/>
      <c r="T56" s="2340"/>
      <c r="U56" s="218"/>
      <c r="V56" s="1309"/>
      <c r="W56" s="1310" t="str">
        <f>Z52&amp;"-"&amp;AB52</f>
        <v>-</v>
      </c>
      <c r="X56" s="1309"/>
      <c r="Y56" s="1310" t="str">
        <f>AB52&amp;"-"&amp;AD52</f>
        <v>-да</v>
      </c>
      <c r="Z56" s="1309"/>
      <c r="AA56" s="1309"/>
      <c r="AB56" s="1309"/>
      <c r="AC56" s="1309"/>
      <c r="AD56" s="2129"/>
      <c r="AE56" s="232"/>
      <c r="AF56" s="234"/>
      <c r="AG56" s="350" t="s">
        <v>495</v>
      </c>
      <c r="AH56" s="1309"/>
      <c r="AI56" s="1309"/>
      <c r="AJ56" s="1309"/>
      <c r="AK56" s="1309"/>
      <c r="AL56" s="1309"/>
      <c r="AM56" s="1309"/>
      <c r="AN56" s="1309"/>
      <c r="AO56" s="1309"/>
      <c r="AP56" s="1309"/>
      <c r="AQ56" s="1309"/>
      <c r="AR56" s="1309"/>
      <c r="AS56" s="1309"/>
      <c r="AT56" s="1309"/>
      <c r="AU56" s="1310" t="str">
        <f>AX52&amp;"-"&amp;AZ52</f>
        <v>-</v>
      </c>
      <c r="AV56" s="1309"/>
      <c r="AW56" s="1310" t="str">
        <f>AZ52&amp;"-"&amp;BB52</f>
        <v>-</v>
      </c>
      <c r="AX56" s="1309"/>
      <c r="AY56" s="1309"/>
      <c r="AZ56" s="1309"/>
      <c r="BA56" s="1309"/>
      <c r="BB56" s="1312" t="str">
        <f>BE52&amp;"-"&amp;BG52</f>
        <v>-</v>
      </c>
      <c r="BC56" s="2266"/>
      <c r="BE56" s="426"/>
      <c r="BF56" s="426" t="str">
        <f t="shared" ref="BF56:BF63" si="4">IF(T56="","",T56)</f>
        <v/>
      </c>
      <c r="BG56" s="426"/>
      <c r="BH56" s="426"/>
    </row>
    <row r="57" spans="1:60" ht="11.25" customHeight="1">
      <c r="A57" s="1279" t="s">
        <v>250</v>
      </c>
      <c r="B57" s="1279" t="s">
        <v>251</v>
      </c>
      <c r="C57" s="1279" t="s">
        <v>252</v>
      </c>
      <c r="D57" s="1279" t="s">
        <v>528</v>
      </c>
      <c r="E57" s="2271"/>
      <c r="F57" s="2271"/>
      <c r="G57" s="2271"/>
      <c r="H57" s="2271"/>
      <c r="I57" s="2291"/>
      <c r="J57" s="2268"/>
      <c r="K57" s="1279"/>
      <c r="L57" s="1280"/>
      <c r="P57" s="2269"/>
      <c r="Q57" s="2269"/>
      <c r="R57" s="281"/>
      <c r="S57" s="1198"/>
      <c r="T57" s="205" t="s">
        <v>455</v>
      </c>
      <c r="U57" s="295"/>
      <c r="V57" s="295"/>
      <c r="W57" s="295"/>
      <c r="X57" s="295"/>
      <c r="Y57" s="295"/>
      <c r="Z57" s="295"/>
      <c r="AA57" s="295"/>
      <c r="AB57" s="295"/>
      <c r="AC57" s="249"/>
      <c r="AD57" s="1415"/>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49"/>
      <c r="BC57" s="2267"/>
      <c r="BE57" s="426"/>
      <c r="BF57" s="426" t="str">
        <f t="shared" si="4"/>
        <v>Добавить строку</v>
      </c>
      <c r="BG57" s="426"/>
      <c r="BH57" s="426"/>
    </row>
    <row r="58" spans="1:60" s="1820" customFormat="1" ht="0" hidden="1" customHeight="1">
      <c r="A58" s="1260" t="s">
        <v>250</v>
      </c>
      <c r="B58" s="1260" t="s">
        <v>251</v>
      </c>
      <c r="C58" s="1260" t="s">
        <v>252</v>
      </c>
      <c r="D58" s="1260" t="s">
        <v>528</v>
      </c>
      <c r="E58" s="2271"/>
      <c r="F58" s="2271"/>
      <c r="G58" s="2271"/>
      <c r="H58" s="2271"/>
      <c r="I58" s="2268"/>
      <c r="J58" s="1260"/>
      <c r="K58" s="1260"/>
      <c r="L58" s="1263"/>
      <c r="M58" s="436"/>
      <c r="N58" s="436"/>
      <c r="O58" s="436"/>
      <c r="P58" s="2269"/>
      <c r="Q58" s="1391"/>
      <c r="R58" s="281"/>
      <c r="S58" s="1302"/>
      <c r="T58" s="1303"/>
      <c r="U58" s="1304"/>
      <c r="V58" s="1304"/>
      <c r="W58" s="1304"/>
      <c r="X58" s="1304"/>
      <c r="Y58" s="1304"/>
      <c r="Z58" s="1304"/>
      <c r="AA58" s="1304"/>
      <c r="AB58" s="1304"/>
      <c r="AC58" s="1304"/>
      <c r="AD58" s="1304"/>
      <c r="AE58" s="1304"/>
      <c r="AF58" s="1304"/>
      <c r="AG58" s="1304"/>
      <c r="AH58" s="1304"/>
      <c r="AI58" s="1304"/>
      <c r="AJ58" s="1304"/>
      <c r="AK58" s="1304"/>
      <c r="AL58" s="1304"/>
      <c r="AM58" s="1304"/>
      <c r="AN58" s="1304"/>
      <c r="AO58" s="1304"/>
      <c r="AP58" s="1304"/>
      <c r="AQ58" s="1304"/>
      <c r="AR58" s="1304"/>
      <c r="AS58" s="1304"/>
      <c r="AT58" s="1304"/>
      <c r="AU58" s="1304"/>
      <c r="AV58" s="1304"/>
      <c r="AW58" s="1304"/>
      <c r="AX58" s="1304"/>
      <c r="AY58" s="1304"/>
      <c r="AZ58" s="1304"/>
      <c r="BA58" s="1304"/>
      <c r="BB58" s="1304"/>
      <c r="BC58" s="1305"/>
      <c r="BE58" s="426"/>
      <c r="BF58" s="426" t="str">
        <f t="shared" si="4"/>
        <v/>
      </c>
      <c r="BG58" s="426"/>
      <c r="BH58" s="426"/>
    </row>
    <row r="59" spans="1:60" s="1820" customFormat="1" ht="0" hidden="1" customHeight="1">
      <c r="A59" s="1260" t="s">
        <v>250</v>
      </c>
      <c r="B59" s="1260" t="s">
        <v>251</v>
      </c>
      <c r="C59" s="1260" t="s">
        <v>252</v>
      </c>
      <c r="D59" s="1260" t="s">
        <v>528</v>
      </c>
      <c r="E59" s="2271"/>
      <c r="F59" s="2271"/>
      <c r="G59" s="2271"/>
      <c r="H59" s="2270"/>
      <c r="I59" s="1260"/>
      <c r="J59" s="1260"/>
      <c r="K59" s="1260"/>
      <c r="L59" s="1263"/>
      <c r="M59" s="1233"/>
      <c r="N59" s="1233"/>
      <c r="O59" s="444"/>
      <c r="P59" s="313"/>
      <c r="Q59" s="1261"/>
      <c r="R59" s="1317"/>
      <c r="S59" s="1302"/>
      <c r="T59" s="1303"/>
      <c r="U59" s="1304"/>
      <c r="V59" s="1304"/>
      <c r="W59" s="1304"/>
      <c r="X59" s="1304"/>
      <c r="Y59" s="1304"/>
      <c r="Z59" s="1304"/>
      <c r="AA59" s="1304"/>
      <c r="AB59" s="1304"/>
      <c r="AC59" s="1304"/>
      <c r="AD59" s="1304"/>
      <c r="AE59" s="1304"/>
      <c r="AF59" s="1304"/>
      <c r="AG59" s="1304"/>
      <c r="AH59" s="1304"/>
      <c r="AI59" s="1304"/>
      <c r="AJ59" s="1304"/>
      <c r="AK59" s="1304"/>
      <c r="AL59" s="1304"/>
      <c r="AM59" s="1304"/>
      <c r="AN59" s="1304"/>
      <c r="AO59" s="1304"/>
      <c r="AP59" s="1304"/>
      <c r="AQ59" s="1304"/>
      <c r="AR59" s="1304"/>
      <c r="AS59" s="1304"/>
      <c r="AT59" s="1304"/>
      <c r="AU59" s="1304"/>
      <c r="AV59" s="1304"/>
      <c r="AW59" s="1304"/>
      <c r="AX59" s="1304"/>
      <c r="AY59" s="1304"/>
      <c r="AZ59" s="1304"/>
      <c r="BA59" s="1304"/>
      <c r="BB59" s="1304"/>
      <c r="BC59" s="1305"/>
      <c r="BE59" s="426"/>
      <c r="BF59" s="426" t="str">
        <f t="shared" si="4"/>
        <v/>
      </c>
      <c r="BG59" s="426"/>
      <c r="BH59" s="426"/>
    </row>
    <row r="60" spans="1:60" s="1930" customFormat="1" ht="0" hidden="1" customHeight="1">
      <c r="A60" s="1260" t="s">
        <v>250</v>
      </c>
      <c r="B60" s="1260" t="s">
        <v>251</v>
      </c>
      <c r="C60" s="1260" t="s">
        <v>252</v>
      </c>
      <c r="D60" s="1232"/>
      <c r="E60" s="2271"/>
      <c r="F60" s="2271"/>
      <c r="G60" s="2270"/>
      <c r="H60" s="1232"/>
      <c r="I60" s="1232"/>
      <c r="J60" s="1232"/>
      <c r="K60" s="1232"/>
      <c r="L60" s="1404"/>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06"/>
      <c r="BF60" s="706" t="str">
        <f t="shared" si="4"/>
        <v/>
      </c>
      <c r="BG60" s="706"/>
      <c r="BH60" s="706"/>
    </row>
    <row r="61" spans="1:60" s="1930" customFormat="1" ht="0" hidden="1" customHeight="1">
      <c r="A61" s="1260" t="s">
        <v>250</v>
      </c>
      <c r="B61" s="1260" t="s">
        <v>251</v>
      </c>
      <c r="C61" s="1232"/>
      <c r="D61" s="1232"/>
      <c r="E61" s="2271"/>
      <c r="F61" s="2270"/>
      <c r="G61" s="1232"/>
      <c r="H61" s="1232"/>
      <c r="I61" s="1232"/>
      <c r="J61" s="1232"/>
      <c r="K61" s="1232"/>
      <c r="L61" s="1404"/>
      <c r="M61" s="1239"/>
      <c r="N61" s="1239"/>
      <c r="P61" s="1234"/>
      <c r="Q61" s="1235"/>
      <c r="R61" s="1234"/>
      <c r="S61" s="1240"/>
      <c r="T61" s="1243" t="s">
        <v>215</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06"/>
      <c r="BF61" s="706" t="str">
        <f t="shared" si="4"/>
        <v>Добавить централизованную систему для дифференциации</v>
      </c>
      <c r="BG61" s="706"/>
      <c r="BH61" s="706"/>
    </row>
    <row r="62" spans="1:60" s="1820" customFormat="1" ht="0" hidden="1" customHeight="1">
      <c r="A62" s="1260" t="s">
        <v>250</v>
      </c>
      <c r="B62" s="1260"/>
      <c r="C62" s="1260"/>
      <c r="D62" s="1260"/>
      <c r="E62" s="2270"/>
      <c r="F62" s="1260"/>
      <c r="G62" s="1260"/>
      <c r="H62" s="1260"/>
      <c r="I62" s="1260"/>
      <c r="J62" s="1260"/>
      <c r="K62" s="1260"/>
      <c r="L62" s="1263"/>
      <c r="M62" s="1239"/>
      <c r="N62" s="1239"/>
      <c r="O62" s="444"/>
      <c r="P62" s="313"/>
      <c r="Q62" s="1261"/>
      <c r="R62" s="313"/>
      <c r="S62" s="1240"/>
      <c r="T62" s="1243" t="s">
        <v>216</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26"/>
      <c r="BF62" s="426" t="str">
        <f t="shared" si="4"/>
        <v>Добавить территорию для дифференциации</v>
      </c>
      <c r="BG62" s="426"/>
      <c r="BH62" s="426"/>
    </row>
    <row r="63" spans="1:60" s="1930" customFormat="1" ht="0" hidden="1" customHeight="1">
      <c r="A63" s="1232"/>
      <c r="B63" s="1232"/>
      <c r="C63" s="1232"/>
      <c r="D63" s="1232"/>
      <c r="E63" s="1260"/>
      <c r="F63" s="1232"/>
      <c r="G63" s="1232"/>
      <c r="H63" s="1232"/>
      <c r="I63" s="1232"/>
      <c r="J63" s="1232"/>
      <c r="K63" s="1232"/>
      <c r="L63" s="1404"/>
      <c r="M63" s="1239"/>
      <c r="N63" s="1239"/>
      <c r="P63" s="1234"/>
      <c r="Q63" s="1235"/>
      <c r="R63" s="1234"/>
      <c r="S63" s="1240"/>
      <c r="T63" s="1243" t="s">
        <v>217</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06"/>
      <c r="BF63" s="706" t="str">
        <f t="shared" si="4"/>
        <v>Добавить наименование тарифа</v>
      </c>
      <c r="BG63" s="706"/>
      <c r="BH63" s="706"/>
    </row>
    <row r="64" spans="1:60" ht="11.25" customHeight="1">
      <c r="M64" s="1060"/>
      <c r="N64" s="1060"/>
      <c r="O64" s="462"/>
      <c r="P64" s="1060"/>
      <c r="Q64" s="1060"/>
      <c r="R64" s="1055"/>
      <c r="S64" s="1055"/>
      <c r="BD64" s="1055"/>
      <c r="BE64" s="1055"/>
      <c r="BF64" s="1055"/>
      <c r="BG64" s="1055"/>
      <c r="BH64" s="1055"/>
    </row>
    <row r="65" spans="15:55" ht="18.75" customHeight="1">
      <c r="O65" s="462"/>
      <c r="S65" s="1164"/>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row>
    <row r="66" spans="15:55" ht="14.25" customHeight="1">
      <c r="O66" s="462"/>
      <c r="T66" s="1390"/>
      <c r="U66" s="1390"/>
      <c r="V66" s="1390"/>
      <c r="W66" s="1390"/>
      <c r="X66" s="1390"/>
      <c r="Y66" s="1390"/>
      <c r="Z66" s="1390"/>
      <c r="AA66" s="1390"/>
      <c r="AB66" s="1390"/>
      <c r="AC66" s="1390"/>
      <c r="AD66" s="1390"/>
      <c r="AE66" s="1390"/>
      <c r="AF66" s="1390"/>
      <c r="AG66" s="1390"/>
      <c r="AH66" s="1390"/>
      <c r="AI66" s="1390"/>
      <c r="AJ66" s="1390"/>
      <c r="AK66" s="1390"/>
      <c r="AL66" s="1390"/>
      <c r="AM66" s="1390"/>
      <c r="AN66" s="1390"/>
      <c r="AO66" s="1390"/>
      <c r="AP66" s="1390"/>
      <c r="AQ66" s="1390"/>
      <c r="AR66" s="1390"/>
      <c r="AS66" s="1390"/>
      <c r="AT66" s="1390"/>
      <c r="AU66" s="1390"/>
      <c r="AV66" s="1390"/>
      <c r="AW66" s="1390"/>
      <c r="AX66" s="1390"/>
      <c r="AY66" s="1390"/>
      <c r="AZ66" s="1390"/>
      <c r="BA66" s="1390"/>
      <c r="BB66" s="1390"/>
      <c r="BC66" s="1390"/>
    </row>
    <row r="67" spans="15:55" ht="18.75" customHeight="1">
      <c r="O67" s="462"/>
      <c r="S67" s="1164"/>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row>
    <row r="68" spans="15:55" ht="14.25" customHeight="1">
      <c r="O68" s="462"/>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178B6-7DAF-AC58-553C-876E1DD93387}">
  <sheetPr>
    <tabColor rgb="FFCCCCFF"/>
    <pageSetUpPr fitToPage="1"/>
  </sheetPr>
  <dimension ref="A1:AB28"/>
  <sheetViews>
    <sheetView showGridLines="0" topLeftCell="G2" zoomScale="90" workbookViewId="0">
      <selection activeCell="H17" sqref="H17"/>
    </sheetView>
  </sheetViews>
  <sheetFormatPr defaultColWidth="9.140625" defaultRowHeight="14.25" customHeight="1"/>
  <cols>
    <col min="1" max="1" width="8" style="1823" hidden="1" customWidth="1"/>
    <col min="2" max="2" width="6" style="1824" hidden="1" customWidth="1"/>
    <col min="3" max="3" width="3.7109375" style="1823" customWidth="1"/>
    <col min="4" max="4" width="3.7109375" style="1833" customWidth="1"/>
    <col min="5" max="5" width="6.28515625" style="1834" customWidth="1"/>
    <col min="6" max="6" width="2.7109375" style="1823" hidden="1" customWidth="1"/>
    <col min="7" max="7" width="46.7109375" style="1834" customWidth="1"/>
    <col min="8" max="8" width="43.140625" style="1834" customWidth="1"/>
    <col min="9" max="9" width="14.85546875" style="1834" customWidth="1"/>
    <col min="10" max="10" width="3.7109375" style="1826" customWidth="1"/>
    <col min="11" max="13" width="9.140625" style="1826" hidden="1"/>
    <col min="14" max="14" width="25.7109375" style="1827" hidden="1" customWidth="1"/>
    <col min="15" max="15" width="14.42578125" style="1826" hidden="1" customWidth="1"/>
    <col min="16" max="19" width="9.140625" style="1828" hidden="1"/>
    <col min="20" max="27" width="9.140625" style="1834" hidden="1"/>
    <col min="28" max="28" width="9.140625" style="1834"/>
  </cols>
  <sheetData>
    <row r="1" spans="1:28" s="1818" customFormat="1" ht="5.25" hidden="1" customHeight="1">
      <c r="A1" s="422"/>
      <c r="B1" s="437"/>
      <c r="C1" s="437"/>
      <c r="D1" s="141"/>
      <c r="F1" s="437"/>
      <c r="G1" s="165" t="s">
        <v>82</v>
      </c>
      <c r="H1" s="420" t="s">
        <v>83</v>
      </c>
      <c r="I1" s="147" t="s">
        <v>84</v>
      </c>
      <c r="J1" s="165" t="s">
        <v>82</v>
      </c>
      <c r="K1" s="165"/>
      <c r="L1" s="165"/>
      <c r="M1" s="165"/>
      <c r="N1" s="166"/>
      <c r="O1" s="165"/>
      <c r="P1" s="165"/>
      <c r="Q1" s="165"/>
      <c r="R1" s="165"/>
      <c r="S1" s="165"/>
      <c r="T1" s="147"/>
      <c r="U1" s="147"/>
      <c r="V1" s="147"/>
      <c r="W1" s="147"/>
      <c r="X1" s="147"/>
      <c r="Y1" s="147"/>
      <c r="Z1" s="147"/>
      <c r="AA1" s="147"/>
      <c r="AB1" s="147"/>
    </row>
    <row r="2" spans="1:28" s="1821" customFormat="1" ht="11.25" customHeight="1">
      <c r="A2" s="748"/>
      <c r="B2" s="148"/>
      <c r="C2" s="148"/>
      <c r="D2" s="149"/>
      <c r="E2" s="148"/>
      <c r="F2" s="148"/>
      <c r="G2" s="148"/>
      <c r="H2" s="148"/>
      <c r="I2" s="148"/>
      <c r="J2" s="165"/>
      <c r="K2" s="165"/>
      <c r="L2" s="165"/>
      <c r="M2" s="165"/>
      <c r="N2" s="166"/>
      <c r="O2" s="165"/>
      <c r="P2" s="150"/>
      <c r="Q2" s="150"/>
      <c r="R2" s="150"/>
      <c r="S2" s="150"/>
      <c r="T2" s="149"/>
      <c r="U2" s="149"/>
      <c r="V2" s="149"/>
      <c r="W2" s="149"/>
      <c r="X2" s="149"/>
      <c r="Y2" s="149"/>
      <c r="Z2" s="149"/>
      <c r="AA2" s="149"/>
      <c r="AB2" s="149"/>
    </row>
    <row r="3" spans="1:28" s="1822" customFormat="1" ht="3" customHeight="1">
      <c r="A3" s="675"/>
      <c r="B3" s="351"/>
      <c r="C3" s="675"/>
      <c r="D3" s="85"/>
      <c r="E3" s="35"/>
      <c r="F3" s="435"/>
      <c r="G3" s="35"/>
      <c r="H3" s="35"/>
      <c r="I3" s="87"/>
      <c r="J3" s="165"/>
      <c r="K3" s="77"/>
      <c r="L3" s="77"/>
      <c r="M3" s="77"/>
      <c r="N3" s="146"/>
      <c r="O3" s="77"/>
      <c r="P3" s="145"/>
      <c r="Q3" s="145"/>
      <c r="R3" s="145"/>
      <c r="S3" s="145"/>
    </row>
    <row r="4" spans="1:28" s="1822" customFormat="1" ht="25.5" customHeight="1">
      <c r="A4" s="675"/>
      <c r="B4" s="351"/>
      <c r="C4" s="675"/>
      <c r="D4" s="85"/>
      <c r="E4" s="2119" t="str">
        <f>NameTemplatesInListMO</f>
        <v>Перечень муниципальных районов и муниципальных образований (территорий действия тарифа)</v>
      </c>
      <c r="F4" s="2119"/>
      <c r="G4" s="2119"/>
      <c r="H4" s="2119"/>
      <c r="I4" s="2119"/>
      <c r="J4" s="165"/>
      <c r="K4" s="77"/>
      <c r="L4" s="77"/>
      <c r="M4" s="77"/>
      <c r="N4" s="146"/>
      <c r="O4" s="77"/>
      <c r="P4" s="145"/>
      <c r="Q4" s="145"/>
      <c r="R4" s="145"/>
      <c r="S4" s="145"/>
    </row>
    <row r="5" spans="1:28" s="1822" customFormat="1" ht="3" customHeight="1">
      <c r="A5" s="675"/>
      <c r="B5" s="351"/>
      <c r="C5" s="675"/>
      <c r="D5" s="85"/>
      <c r="E5" s="35"/>
      <c r="F5" s="435"/>
      <c r="G5" s="88"/>
      <c r="H5" s="88"/>
      <c r="I5" s="89"/>
      <c r="J5" s="77"/>
      <c r="K5" s="77"/>
      <c r="L5" s="77"/>
      <c r="M5" s="77"/>
      <c r="N5" s="146"/>
      <c r="O5" s="77"/>
      <c r="P5" s="145"/>
      <c r="Q5" s="145"/>
      <c r="R5" s="145"/>
      <c r="S5" s="145"/>
    </row>
    <row r="6" spans="1:28" s="1822" customFormat="1" ht="20.25" hidden="1" customHeight="1">
      <c r="A6" s="754"/>
      <c r="B6" s="750"/>
      <c r="C6" s="90"/>
      <c r="D6" s="85"/>
      <c r="E6" s="696"/>
      <c r="F6" s="696"/>
      <c r="G6" s="88"/>
      <c r="H6" s="91"/>
      <c r="I6" s="91"/>
      <c r="J6" s="77"/>
      <c r="K6" s="77"/>
      <c r="L6" s="77"/>
      <c r="M6" s="77"/>
      <c r="N6" s="146"/>
      <c r="O6" s="77"/>
      <c r="P6" s="145"/>
      <c r="Q6" s="145"/>
      <c r="R6" s="145"/>
      <c r="S6" s="145"/>
    </row>
    <row r="7" spans="1:28" ht="25.5" hidden="1" customHeight="1"/>
    <row r="8" spans="1:28" s="1822" customFormat="1" ht="14.25" customHeight="1">
      <c r="A8" s="675"/>
      <c r="B8" s="351"/>
      <c r="C8" s="675"/>
      <c r="D8" s="85"/>
      <c r="E8" s="2115" t="s">
        <v>85</v>
      </c>
      <c r="F8" s="2120"/>
      <c r="G8" s="2114"/>
      <c r="H8" s="2121" t="s">
        <v>86</v>
      </c>
      <c r="I8" s="2121"/>
      <c r="J8" s="77"/>
      <c r="K8" s="77"/>
      <c r="L8" s="77"/>
      <c r="M8" s="77"/>
      <c r="N8" s="146"/>
      <c r="O8" s="77"/>
      <c r="P8" s="145"/>
      <c r="Q8" s="145"/>
      <c r="R8" s="145"/>
      <c r="S8" s="145"/>
    </row>
    <row r="9" spans="1:28" s="1822" customFormat="1" ht="20.25" customHeight="1">
      <c r="A9" s="675"/>
      <c r="B9" s="351"/>
      <c r="C9" s="675"/>
      <c r="D9" s="85"/>
      <c r="E9" s="694" t="s">
        <v>87</v>
      </c>
      <c r="F9" s="694"/>
      <c r="G9" s="93" t="s">
        <v>88</v>
      </c>
      <c r="H9" s="93" t="s">
        <v>88</v>
      </c>
      <c r="I9" s="93" t="s">
        <v>84</v>
      </c>
      <c r="J9" s="77"/>
      <c r="K9" s="77"/>
      <c r="L9" s="77"/>
      <c r="M9" s="77"/>
      <c r="N9" s="146"/>
      <c r="O9" s="77"/>
      <c r="P9" s="145"/>
      <c r="Q9" s="145"/>
      <c r="R9" s="145"/>
      <c r="S9" s="145"/>
    </row>
    <row r="10" spans="1:28" ht="11.25" customHeight="1">
      <c r="D10" s="97"/>
      <c r="E10" s="695" t="s">
        <v>89</v>
      </c>
      <c r="F10" s="695"/>
      <c r="G10" s="143" t="s">
        <v>90</v>
      </c>
      <c r="H10" s="143" t="s">
        <v>91</v>
      </c>
      <c r="I10" s="143" t="s">
        <v>92</v>
      </c>
      <c r="J10" s="107"/>
      <c r="K10" s="107"/>
      <c r="L10" s="107"/>
      <c r="M10" s="107"/>
      <c r="N10" s="92"/>
      <c r="O10" s="107"/>
      <c r="P10" s="144"/>
      <c r="Q10" s="144"/>
      <c r="R10" s="144"/>
      <c r="S10" s="144"/>
    </row>
    <row r="11" spans="1:28" s="1822" customFormat="1" ht="0.75" customHeight="1">
      <c r="A11" s="675"/>
      <c r="B11" s="351"/>
      <c r="C11" s="675"/>
      <c r="D11" s="85"/>
      <c r="E11" s="707"/>
      <c r="F11" s="707"/>
      <c r="G11" s="94"/>
      <c r="H11" s="94"/>
      <c r="I11" s="96"/>
      <c r="J11" s="167" t="s">
        <v>93</v>
      </c>
      <c r="K11" s="77"/>
      <c r="L11" s="77"/>
      <c r="M11" s="77" t="s">
        <v>94</v>
      </c>
      <c r="N11" s="146" t="s">
        <v>95</v>
      </c>
      <c r="O11" s="77" t="s">
        <v>96</v>
      </c>
      <c r="P11" s="145"/>
      <c r="Q11" s="145"/>
      <c r="R11" s="145"/>
      <c r="S11" s="145"/>
    </row>
    <row r="12" spans="1:28" s="1829" customFormat="1" ht="14.25" customHeight="1">
      <c r="A12" s="2118">
        <v>1</v>
      </c>
      <c r="B12" s="351"/>
      <c r="C12" s="675"/>
      <c r="D12" s="699"/>
      <c r="E12" s="139">
        <f>A12</f>
        <v>1</v>
      </c>
      <c r="F12" s="719" t="s">
        <v>97</v>
      </c>
      <c r="G12" s="465" t="str">
        <f>"Территория "&amp;E12</f>
        <v>Территория 1</v>
      </c>
      <c r="H12" s="709"/>
      <c r="I12" s="709"/>
      <c r="J12" s="706"/>
      <c r="K12" s="426"/>
      <c r="L12" s="426"/>
      <c r="M12" s="426"/>
      <c r="N12" s="146"/>
      <c r="O12" s="426"/>
      <c r="P12" s="145"/>
      <c r="Q12" s="145"/>
      <c r="R12" s="145"/>
      <c r="S12" s="145"/>
    </row>
    <row r="13" spans="1:28" s="1831" customFormat="1" ht="15" customHeight="1">
      <c r="A13" s="2118"/>
      <c r="B13" s="351">
        <v>1</v>
      </c>
      <c r="C13" s="351"/>
      <c r="D13" s="717"/>
      <c r="E13" s="697" t="str">
        <f>A12&amp;"."&amp;B13</f>
        <v>1.1</v>
      </c>
      <c r="F13" s="712" t="s">
        <v>98</v>
      </c>
      <c r="G13" s="710" t="s">
        <v>99</v>
      </c>
      <c r="H13" s="710" t="s">
        <v>99</v>
      </c>
      <c r="I13" s="708" t="s">
        <v>100</v>
      </c>
      <c r="J13" s="426" t="e">
        <f ca="1">MERGEVALUE(G13)</f>
        <v>#NAME?</v>
      </c>
      <c r="K13" s="437"/>
      <c r="L13" s="437"/>
      <c r="M13" s="426" t="str">
        <f t="array" ref="M13">IF(ISERROR(MATCH(MID(N13,1,250),MID(note_ter,1,250),0)),"n","y")</f>
        <v>n</v>
      </c>
      <c r="N13" s="437"/>
      <c r="O13" s="426" t="str">
        <f>H13&amp;"("&amp;I13&amp;")"</f>
        <v>Шарыповский муниципальный округ(04558000)</v>
      </c>
      <c r="P13" s="351"/>
      <c r="Q13" s="351"/>
      <c r="R13" s="353"/>
      <c r="S13" s="351"/>
      <c r="T13" s="351"/>
      <c r="U13" s="351"/>
      <c r="V13" s="355"/>
      <c r="W13" s="355"/>
      <c r="X13" s="352"/>
      <c r="Y13" s="352"/>
      <c r="Z13" s="352"/>
      <c r="AA13" s="352"/>
      <c r="AB13" s="352"/>
    </row>
    <row r="14" spans="1:28" s="1831" customFormat="1" ht="15" customHeight="1">
      <c r="A14" s="2118"/>
      <c r="B14" s="351"/>
      <c r="C14" s="346"/>
      <c r="D14" s="718"/>
      <c r="E14" s="354"/>
      <c r="F14" s="98"/>
      <c r="G14" s="349" t="s">
        <v>101</v>
      </c>
      <c r="H14" s="108"/>
      <c r="I14" s="357"/>
      <c r="J14" s="437"/>
      <c r="K14" s="437"/>
      <c r="L14" s="437"/>
      <c r="M14" s="437"/>
      <c r="N14" s="426"/>
      <c r="O14" s="437"/>
      <c r="P14" s="351"/>
      <c r="Q14" s="351"/>
      <c r="R14" s="353"/>
      <c r="S14" s="351"/>
      <c r="T14" s="351"/>
      <c r="U14" s="351"/>
      <c r="V14" s="355"/>
      <c r="W14" s="355"/>
      <c r="X14" s="352"/>
      <c r="Y14" s="352"/>
      <c r="Z14" s="352"/>
      <c r="AA14" s="352"/>
      <c r="AB14" s="352"/>
    </row>
    <row r="15" spans="1:28" s="1822" customFormat="1" ht="14.25" customHeight="1">
      <c r="A15" s="675"/>
      <c r="B15" s="351"/>
      <c r="C15" s="675"/>
      <c r="D15" s="699"/>
      <c r="E15" s="711"/>
      <c r="F15" s="99"/>
      <c r="G15" s="350" t="s">
        <v>102</v>
      </c>
      <c r="H15" s="99"/>
      <c r="I15" s="100"/>
      <c r="J15" s="167"/>
      <c r="K15" s="77"/>
      <c r="L15" s="77"/>
      <c r="M15" s="77"/>
      <c r="N15" s="146" t="s">
        <v>103</v>
      </c>
      <c r="O15" s="77"/>
      <c r="P15" s="145"/>
      <c r="Q15" s="145"/>
      <c r="R15" s="145"/>
      <c r="S15" s="145"/>
    </row>
    <row r="16" spans="1:28" s="1822" customFormat="1" ht="21" customHeight="1">
      <c r="A16" s="675"/>
      <c r="B16" s="351"/>
      <c r="C16" s="675"/>
      <c r="D16" s="86"/>
      <c r="E16" s="101"/>
      <c r="F16" s="101"/>
      <c r="G16" s="101"/>
      <c r="H16" s="101"/>
      <c r="I16" s="101"/>
      <c r="J16" s="77"/>
      <c r="K16" s="77"/>
      <c r="L16" s="77"/>
      <c r="M16" s="77"/>
      <c r="N16" s="146"/>
      <c r="O16" s="77"/>
      <c r="P16" s="145"/>
      <c r="Q16" s="145"/>
      <c r="R16" s="145"/>
      <c r="S16" s="145"/>
    </row>
    <row r="17" spans="1:19" s="1822" customFormat="1" ht="14.25" customHeight="1">
      <c r="A17" s="675"/>
      <c r="B17" s="351"/>
      <c r="C17" s="675"/>
      <c r="D17" s="86"/>
      <c r="E17" s="17"/>
      <c r="F17" s="675"/>
      <c r="G17" s="17"/>
      <c r="H17" s="17"/>
      <c r="I17" s="17"/>
      <c r="J17" s="77"/>
      <c r="K17" s="77"/>
      <c r="L17" s="77"/>
      <c r="M17" s="77"/>
      <c r="N17" s="146"/>
      <c r="O17" s="77"/>
      <c r="P17" s="145"/>
      <c r="Q17" s="145"/>
      <c r="R17" s="145"/>
      <c r="S17" s="145"/>
    </row>
    <row r="18" spans="1:19" s="1822" customFormat="1" ht="0.75" customHeight="1">
      <c r="A18" s="675"/>
      <c r="B18" s="351"/>
      <c r="C18" s="675"/>
      <c r="D18" s="86"/>
      <c r="E18" s="17"/>
      <c r="F18" s="675"/>
      <c r="G18" s="17"/>
      <c r="H18" s="17"/>
      <c r="I18" s="17"/>
      <c r="J18" s="77"/>
      <c r="K18" s="77"/>
      <c r="L18" s="77"/>
      <c r="M18" s="77"/>
      <c r="N18" s="146"/>
      <c r="O18" s="77"/>
      <c r="P18" s="145"/>
      <c r="Q18" s="145"/>
      <c r="R18" s="145"/>
      <c r="S18" s="145"/>
    </row>
    <row r="19" spans="1:19" s="1835" customFormat="1" ht="10.5" customHeight="1">
      <c r="B19" s="751"/>
      <c r="D19" s="103"/>
      <c r="J19" s="77"/>
      <c r="K19" s="77"/>
      <c r="L19" s="77"/>
      <c r="M19" s="77"/>
      <c r="N19" s="146"/>
      <c r="O19" s="77"/>
      <c r="P19" s="145"/>
      <c r="Q19" s="145"/>
      <c r="R19" s="145"/>
      <c r="S19" s="145"/>
    </row>
    <row r="20" spans="1:19" s="1835" customFormat="1" ht="10.5" customHeight="1">
      <c r="B20" s="751"/>
      <c r="D20" s="103"/>
      <c r="J20" s="77"/>
      <c r="K20" s="77"/>
      <c r="L20" s="77"/>
      <c r="M20" s="77"/>
      <c r="N20" s="146"/>
      <c r="O20" s="77"/>
      <c r="P20" s="145"/>
      <c r="Q20" s="145"/>
      <c r="R20" s="145"/>
      <c r="S20" s="145"/>
    </row>
    <row r="24" spans="1:19" ht="14.25" customHeight="1">
      <c r="H24" s="1"/>
    </row>
    <row r="28" spans="1:19" ht="14.25" customHeight="1">
      <c r="J28" s="17"/>
      <c r="K28" s="17"/>
      <c r="L28" s="17"/>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60"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8DD86-1755-73A9-F769-BF4116FC3959}">
  <sheetPr>
    <tabColor theme="9" tint="-0.249977111117893"/>
  </sheetPr>
  <dimension ref="A1:AE302"/>
  <sheetViews>
    <sheetView showGridLines="0" topLeftCell="D20" zoomScale="90" workbookViewId="0"/>
  </sheetViews>
  <sheetFormatPr defaultColWidth="9.140625" defaultRowHeight="11.25" customHeight="1"/>
  <cols>
    <col min="1" max="1" width="10.7109375" style="2011" hidden="1" customWidth="1"/>
    <col min="2" max="2" width="16.85546875" style="1931" hidden="1" customWidth="1"/>
    <col min="3" max="3" width="5.5703125" style="2010" hidden="1" customWidth="1"/>
    <col min="4" max="4" width="3.7109375" style="2017" customWidth="1"/>
    <col min="5" max="5" width="7.7109375" style="1908" customWidth="1"/>
    <col min="6" max="6" width="54.5703125" style="1908" customWidth="1"/>
    <col min="7" max="7" width="10.42578125" style="1908" customWidth="1"/>
    <col min="8" max="8" width="40.7109375" style="1908" hidden="1" customWidth="1"/>
    <col min="9" max="9" width="40.7109375" style="1908" customWidth="1"/>
    <col min="10" max="10" width="102.85546875" style="1908" customWidth="1"/>
    <col min="11" max="11" width="9.7109375" style="1931" customWidth="1"/>
    <col min="12" max="12" width="5.28515625" style="2010" customWidth="1"/>
    <col min="13" max="13" width="3.7109375" style="2010" customWidth="1"/>
    <col min="14" max="17" width="3.7109375" style="1931" customWidth="1"/>
    <col min="18" max="18" width="10.5703125" style="2010" customWidth="1"/>
    <col min="19" max="19" width="34.7109375" style="1931" customWidth="1"/>
    <col min="20" max="20" width="9.42578125" style="1931" customWidth="1"/>
    <col min="21" max="21" width="9.140625" style="2012"/>
    <col min="22" max="26" width="9.140625" style="1931"/>
    <col min="27" max="31" width="9.140625" style="1907"/>
  </cols>
  <sheetData>
    <row r="1" spans="1:31" ht="11.25" hidden="1" customHeight="1"/>
    <row r="2" spans="1:31" ht="23.25" hidden="1" customHeight="1">
      <c r="B2" s="2118"/>
      <c r="C2" s="1067" t="s">
        <v>529</v>
      </c>
      <c r="D2" s="1550"/>
      <c r="E2" s="471">
        <f>B2</f>
        <v>0</v>
      </c>
      <c r="F2" s="472"/>
      <c r="G2" s="1557" t="s">
        <v>530</v>
      </c>
      <c r="H2" s="1557" t="s">
        <v>530</v>
      </c>
      <c r="I2" s="1557" t="s">
        <v>530</v>
      </c>
      <c r="J2" s="207" t="s">
        <v>531</v>
      </c>
      <c r="K2" s="468"/>
    </row>
    <row r="3" spans="1:31" s="2010" customFormat="1" ht="0.75" hidden="1" customHeight="1">
      <c r="B3" s="2118"/>
      <c r="C3" s="1067"/>
      <c r="D3" s="473"/>
      <c r="E3" s="474"/>
      <c r="F3" s="475" t="s">
        <v>532</v>
      </c>
      <c r="G3" s="476"/>
      <c r="H3" s="476">
        <f>H4*H5+H7</f>
        <v>0</v>
      </c>
      <c r="I3" s="476">
        <f>I4*I5+I6</f>
        <v>0</v>
      </c>
      <c r="J3" s="477"/>
    </row>
    <row r="4" spans="1:31" ht="23.25" hidden="1" customHeight="1">
      <c r="B4" s="2118"/>
      <c r="C4" s="1067"/>
      <c r="D4" s="1550"/>
      <c r="E4" s="471" t="str">
        <f>B2&amp;".1"</f>
        <v>.1</v>
      </c>
      <c r="F4" s="478" t="s">
        <v>533</v>
      </c>
      <c r="G4" s="479"/>
      <c r="H4" s="466"/>
      <c r="I4" s="466"/>
      <c r="J4" s="207" t="s">
        <v>534</v>
      </c>
      <c r="K4" s="468"/>
    </row>
    <row r="5" spans="1:31" ht="18.75" hidden="1" customHeight="1">
      <c r="B5" s="2118"/>
      <c r="C5" s="1067"/>
      <c r="D5" s="1550"/>
      <c r="E5" s="471" t="str">
        <f>B2&amp;".2"</f>
        <v>.2</v>
      </c>
      <c r="F5" s="478" t="s">
        <v>535</v>
      </c>
      <c r="G5" s="1557" t="s">
        <v>536</v>
      </c>
      <c r="H5" s="466"/>
      <c r="I5" s="466"/>
      <c r="J5" s="207"/>
      <c r="K5" s="468"/>
    </row>
    <row r="6" spans="1:31" ht="18.75" hidden="1" customHeight="1">
      <c r="B6" s="2118"/>
      <c r="C6" s="1067"/>
      <c r="D6" s="1550"/>
      <c r="E6" s="471" t="str">
        <f>B2&amp;".3"</f>
        <v>.3</v>
      </c>
      <c r="F6" s="478" t="s">
        <v>537</v>
      </c>
      <c r="G6" s="1557" t="s">
        <v>536</v>
      </c>
      <c r="H6" s="466"/>
      <c r="I6" s="466"/>
      <c r="J6" s="207"/>
      <c r="K6" s="468"/>
    </row>
    <row r="7" spans="1:31" ht="18.75" hidden="1" customHeight="1">
      <c r="B7" s="2118"/>
      <c r="C7" s="1067"/>
      <c r="D7" s="1550"/>
      <c r="E7" s="471" t="str">
        <f>B2&amp;".4"</f>
        <v>.4</v>
      </c>
      <c r="F7" s="478" t="s">
        <v>538</v>
      </c>
      <c r="G7" s="1557" t="s">
        <v>530</v>
      </c>
      <c r="H7" s="480"/>
      <c r="I7" s="480"/>
      <c r="J7" s="207"/>
      <c r="K7" s="468"/>
    </row>
    <row r="8" spans="1:31" s="1931" customFormat="1" ht="11.25" hidden="1" customHeight="1">
      <c r="A8" s="895"/>
      <c r="C8" s="1548"/>
      <c r="D8" s="462"/>
      <c r="H8" s="1060">
        <v>4</v>
      </c>
      <c r="I8" s="1060">
        <v>4</v>
      </c>
      <c r="L8" s="1548"/>
      <c r="M8" s="1548"/>
      <c r="R8" s="1548"/>
    </row>
    <row r="9" spans="1:31" s="1931" customFormat="1" ht="22.5" hidden="1" customHeight="1">
      <c r="A9" s="895"/>
      <c r="C9" s="1548"/>
      <c r="D9" s="463"/>
      <c r="E9" s="1559"/>
      <c r="F9" s="465"/>
      <c r="G9" s="1557" t="s">
        <v>536</v>
      </c>
      <c r="H9" s="466"/>
      <c r="I9" s="466"/>
      <c r="J9" s="467" t="s">
        <v>539</v>
      </c>
      <c r="K9" s="468"/>
      <c r="L9" s="1548"/>
      <c r="M9" s="1548"/>
      <c r="R9" s="1548"/>
      <c r="U9" s="469"/>
      <c r="AA9" s="1544"/>
      <c r="AB9" s="1544"/>
      <c r="AC9" s="1544"/>
      <c r="AD9" s="1544"/>
      <c r="AE9" s="1544"/>
    </row>
    <row r="10" spans="1:31" ht="11.25" hidden="1" customHeight="1"/>
    <row r="11" spans="1:31" ht="18.75" hidden="1" customHeight="1">
      <c r="D11" s="1550"/>
      <c r="E11" s="471"/>
      <c r="F11" s="465"/>
      <c r="G11" s="1557" t="s">
        <v>540</v>
      </c>
      <c r="H11" s="466"/>
      <c r="I11" s="466"/>
      <c r="J11" s="207" t="s">
        <v>541</v>
      </c>
      <c r="K11" s="468"/>
    </row>
    <row r="12" spans="1:31" ht="11.25" hidden="1" customHeight="1"/>
    <row r="13" spans="1:31" ht="22.5" hidden="1" customHeight="1">
      <c r="D13" s="1550"/>
      <c r="E13" s="471"/>
      <c r="F13" s="465"/>
      <c r="G13" s="878" t="s">
        <v>542</v>
      </c>
      <c r="H13" s="470"/>
      <c r="I13" s="470"/>
      <c r="J13" s="663" t="s">
        <v>543</v>
      </c>
      <c r="K13" s="468"/>
    </row>
    <row r="14" spans="1:31" ht="11.25" hidden="1" customHeight="1"/>
    <row r="15" spans="1:31" ht="22.5" hidden="1" customHeight="1">
      <c r="D15" s="1550"/>
      <c r="E15" s="471"/>
      <c r="F15" s="465"/>
      <c r="G15" s="1557" t="s">
        <v>544</v>
      </c>
      <c r="H15" s="470"/>
      <c r="I15" s="470"/>
      <c r="J15" s="207" t="s">
        <v>545</v>
      </c>
      <c r="K15" s="468"/>
    </row>
    <row r="16" spans="1:31" ht="11.25" hidden="1" customHeight="1"/>
    <row r="17" spans="1:26" ht="22.5" hidden="1" customHeight="1">
      <c r="D17" s="1550"/>
      <c r="E17" s="471"/>
      <c r="F17" s="465"/>
      <c r="G17" s="1557" t="s">
        <v>546</v>
      </c>
      <c r="H17" s="470"/>
      <c r="I17" s="470"/>
      <c r="J17" s="207" t="s">
        <v>547</v>
      </c>
      <c r="K17" s="468"/>
    </row>
    <row r="18" spans="1:26" ht="11.25" hidden="1" customHeight="1"/>
    <row r="19" spans="1:26" s="1907" customFormat="1" ht="11.25" hidden="1" customHeight="1">
      <c r="A19" s="895"/>
      <c r="B19" s="1060"/>
      <c r="C19" s="1548"/>
      <c r="D19" s="289"/>
      <c r="J19" s="1544">
        <v>4</v>
      </c>
      <c r="K19" s="1060"/>
      <c r="L19" s="1548"/>
      <c r="M19" s="1548"/>
      <c r="N19" s="1060"/>
      <c r="O19" s="1060"/>
      <c r="P19" s="1060"/>
      <c r="Q19" s="1060"/>
      <c r="R19" s="1548"/>
      <c r="S19" s="1060"/>
      <c r="T19" s="1060"/>
      <c r="U19" s="469"/>
      <c r="V19" s="1060"/>
      <c r="W19" s="1060"/>
      <c r="X19" s="1060"/>
      <c r="Y19" s="1060"/>
      <c r="Z19" s="1060"/>
    </row>
    <row r="21" spans="1:26" ht="24" customHeight="1">
      <c r="E21" s="2254"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4"/>
      <c r="G21" s="2254"/>
      <c r="H21" s="2254"/>
      <c r="I21" s="2254"/>
      <c r="J21" s="481"/>
    </row>
    <row r="22" spans="1:26" ht="24" customHeight="1">
      <c r="E22" s="2200" t="str">
        <f>IF(org=0,"Не определено",org)</f>
        <v>ПАО "Юнипро"</v>
      </c>
      <c r="F22" s="2200"/>
      <c r="G22" s="2200"/>
      <c r="H22" s="2200"/>
      <c r="I22" s="2200"/>
    </row>
    <row r="23" spans="1:26" ht="11.25" customHeight="1">
      <c r="E23" s="1037"/>
      <c r="F23" s="1037"/>
      <c r="G23" s="1037"/>
      <c r="H23" s="1037"/>
      <c r="I23" s="1037"/>
    </row>
    <row r="24" spans="1:26" s="2010" customFormat="1" ht="0.75" customHeight="1">
      <c r="A24" s="1067"/>
      <c r="D24" s="1553"/>
      <c r="H24" s="802"/>
      <c r="I24" s="802" t="s">
        <v>116</v>
      </c>
    </row>
    <row r="25" spans="1:26" ht="11.25" customHeight="1">
      <c r="E25" s="630"/>
      <c r="F25" s="2344" t="s">
        <v>104</v>
      </c>
      <c r="G25" s="2345"/>
      <c r="H25" s="1563" t="str">
        <f>IF(H24="","",INDEX(DIFFERENTIATION_UNMERGE_VD,MATCH(H24,DIFFERENTIATION_ID_DIFF,0)))</f>
        <v/>
      </c>
      <c r="I25" s="1563">
        <f>IF(I24="","",INDEX(DIFFERENTIATION_UNMERGE_VD,MATCH(I24,DIFFERENTIATION_ID_DIFF,0)))</f>
        <v>0</v>
      </c>
      <c r="J25" s="2143"/>
    </row>
    <row r="26" spans="1:26" ht="11.25" customHeight="1">
      <c r="E26" s="630"/>
      <c r="F26" s="2344" t="s">
        <v>548</v>
      </c>
      <c r="G26" s="2345"/>
      <c r="H26" s="1563" t="str">
        <f>IF(H24="","",INDEX(DIFFERENTIATION_UNMERGE_AREA,MATCH(H24,DIFFERENTIATION_ID_DIFF,0)))</f>
        <v/>
      </c>
      <c r="I26" s="1563" t="str">
        <f>IF(I24="","",INDEX(DIFFERENTIATION_UNMERGE_AREA,MATCH(I24,DIFFERENTIATION_ID_DIFF,0)))</f>
        <v/>
      </c>
      <c r="J26" s="2143"/>
    </row>
    <row r="27" spans="1:26" ht="11.25" customHeight="1">
      <c r="E27" s="630"/>
      <c r="F27" s="2344" t="s">
        <v>549</v>
      </c>
      <c r="G27" s="2345"/>
      <c r="H27" s="1563" t="str">
        <f>IF(H24="","",INDEX(DIFFERENTIATION_UNMERGE_SYSTEM,MATCH(H24,DIFFERENTIATION_ID_DIFF,0)))</f>
        <v/>
      </c>
      <c r="I27" s="1563" t="str">
        <f>IF(I24="","",INDEX(DIFFERENTIATION_UNMERGE_SYSTEM,MATCH(I24,DIFFERENTIATION_ID_DIFF,0)))</f>
        <v>без дифференциации</v>
      </c>
      <c r="J27" s="2143"/>
    </row>
    <row r="28" spans="1:26" ht="11.25" customHeight="1">
      <c r="E28" s="2346" t="s">
        <v>289</v>
      </c>
      <c r="F28" s="2347"/>
      <c r="G28" s="2347"/>
      <c r="H28" s="1556"/>
      <c r="I28" s="1556"/>
      <c r="J28" s="2143"/>
    </row>
    <row r="29" spans="1:26" ht="22.5" customHeight="1">
      <c r="E29" s="1557" t="s">
        <v>87</v>
      </c>
      <c r="F29" s="1564" t="s">
        <v>291</v>
      </c>
      <c r="G29" s="1564" t="s">
        <v>550</v>
      </c>
      <c r="H29" s="1564" t="s">
        <v>292</v>
      </c>
      <c r="I29" s="1564" t="s">
        <v>292</v>
      </c>
      <c r="J29" s="2143"/>
    </row>
    <row r="30" spans="1:26" ht="18.75" customHeight="1">
      <c r="D30" s="1550"/>
      <c r="E30" s="471">
        <f>FHD_NUM_P_1</f>
        <v>1</v>
      </c>
      <c r="F30" s="1789" t="str">
        <f>FHD_P_1</f>
        <v>Выручка от регулируемых видов деятельности в сфере холодного водоснабжения</v>
      </c>
      <c r="G30" s="1787" t="s">
        <v>536</v>
      </c>
      <c r="H30" s="482"/>
      <c r="I30" s="482"/>
      <c r="J30" s="207" t="str">
        <f>FHD_NOTE_P_1</f>
        <v>Указывается выручка с распределением по видам деятельности.</v>
      </c>
      <c r="K30" s="468"/>
    </row>
    <row r="31" spans="1:26" ht="11.25" customHeight="1">
      <c r="D31" s="1550"/>
      <c r="E31" s="471">
        <f>FHD_NUM_P_2</f>
        <v>2</v>
      </c>
      <c r="F31" s="1789" t="str">
        <f>FHD_P_2</f>
        <v>Себестоимость производимых товаров (оказываемых услуг) по регулируемым видам деятельности в сфере холодного водоснабжения, включая:</v>
      </c>
      <c r="G31" s="1787" t="s">
        <v>536</v>
      </c>
      <c r="H31" s="483">
        <f>SUMIF($K33:$K71,$K31,H33:H71)</f>
        <v>0</v>
      </c>
      <c r="I31" s="483">
        <f>SUMIF($K33:$K71,$K31,I33:I71)</f>
        <v>0</v>
      </c>
      <c r="J31" s="207" t="str">
        <f>FHD_NOTE_P_2</f>
        <v>Указывается суммарная себестоимость производимых товаров.</v>
      </c>
      <c r="K31" s="1548" t="s">
        <v>551</v>
      </c>
    </row>
    <row r="32" spans="1:26" ht="11.25" customHeight="1">
      <c r="D32" s="1550"/>
      <c r="E32" s="471" t="str">
        <f>FHD_NUM_P_3</f>
        <v>2.1</v>
      </c>
      <c r="F32" s="1434" t="str">
        <f>FHD_P_3</f>
        <v>Расходы на оплату холодной воды, приобретаемой у других организаций для последующей подачи потребителям</v>
      </c>
      <c r="G32" s="1787" t="s">
        <v>536</v>
      </c>
      <c r="H32" s="482"/>
      <c r="I32" s="482"/>
      <c r="J32" s="207" t="str">
        <f>FHD_NOTE_P_3</f>
        <v/>
      </c>
      <c r="K32" s="1548" t="str">
        <f t="shared" ref="K32:K70" si="0">IF((LEN(E32)-LEN(SUBSTITUTE(E32,".","")))/LEN(".")=1,"p","")</f>
        <v>p</v>
      </c>
    </row>
    <row r="33" spans="1:31" ht="11.25" hidden="1" customHeight="1">
      <c r="A33" s="2348" t="s">
        <v>552</v>
      </c>
      <c r="D33" s="1550"/>
      <c r="E33" s="471" t="str">
        <f>FHD_NUM_P_4</f>
        <v/>
      </c>
      <c r="F33" s="1434" t="str">
        <f>FHD_P_4</f>
        <v/>
      </c>
      <c r="G33" s="1787" t="s">
        <v>536</v>
      </c>
      <c r="H33" s="483">
        <f>SUMIF($F34:$F40,$F3,H34:H40)</f>
        <v>0</v>
      </c>
      <c r="I33" s="483">
        <f>SUMIF($F34:$F40,$F3,I34:I40)</f>
        <v>0</v>
      </c>
      <c r="J33" s="207" t="str">
        <f>FHD_NOTE_P_4</f>
        <v/>
      </c>
      <c r="K33" s="1548" t="str">
        <f t="shared" si="0"/>
        <v/>
      </c>
    </row>
    <row r="34" spans="1:31" s="2013" customFormat="1" ht="0.75" hidden="1" customHeight="1">
      <c r="A34" s="2348"/>
      <c r="B34" s="2349" t="str">
        <f>E33&amp;".0"</f>
        <v>.0</v>
      </c>
      <c r="C34" s="1067"/>
      <c r="D34" s="485"/>
      <c r="E34" s="486"/>
      <c r="F34" s="487"/>
      <c r="G34" s="488"/>
      <c r="H34" s="423"/>
      <c r="I34" s="423"/>
      <c r="J34" s="489"/>
      <c r="K34" s="1548" t="str">
        <f t="shared" si="0"/>
        <v/>
      </c>
      <c r="L34" s="1548"/>
      <c r="M34" s="1548"/>
      <c r="N34" s="1548"/>
      <c r="O34" s="1548"/>
      <c r="P34" s="1548"/>
      <c r="Q34" s="1548"/>
      <c r="R34" s="1548"/>
      <c r="S34" s="1548"/>
      <c r="T34" s="1548"/>
      <c r="U34" s="490"/>
      <c r="V34" s="1548"/>
      <c r="W34" s="1548"/>
      <c r="X34" s="1548"/>
      <c r="Y34" s="1548"/>
      <c r="Z34" s="1548"/>
      <c r="AA34" s="491"/>
      <c r="AB34" s="491"/>
      <c r="AC34" s="491"/>
      <c r="AD34" s="491"/>
      <c r="AE34" s="491"/>
    </row>
    <row r="35" spans="1:31" s="2013" customFormat="1" ht="0.75" hidden="1" customHeight="1">
      <c r="A35" s="2348"/>
      <c r="B35" s="2349"/>
      <c r="C35" s="1067"/>
      <c r="D35" s="485"/>
      <c r="E35" s="492"/>
      <c r="F35" s="493"/>
      <c r="G35" s="488"/>
      <c r="H35" s="494"/>
      <c r="I35" s="494"/>
      <c r="J35" s="489"/>
      <c r="K35" s="1548" t="str">
        <f t="shared" si="0"/>
        <v/>
      </c>
      <c r="L35" s="1548"/>
      <c r="M35" s="1548"/>
      <c r="N35" s="1548"/>
      <c r="O35" s="1548"/>
      <c r="P35" s="1548"/>
      <c r="Q35" s="1548"/>
      <c r="R35" s="1548"/>
      <c r="S35" s="1548"/>
      <c r="T35" s="1548"/>
      <c r="U35" s="490"/>
      <c r="V35" s="1548"/>
      <c r="W35" s="1548"/>
      <c r="X35" s="1548"/>
      <c r="Y35" s="1548"/>
      <c r="Z35" s="1548"/>
      <c r="AA35" s="491"/>
      <c r="AB35" s="491"/>
      <c r="AC35" s="491"/>
      <c r="AD35" s="491"/>
      <c r="AE35" s="491"/>
    </row>
    <row r="36" spans="1:31" s="2013" customFormat="1" ht="0.75" hidden="1" customHeight="1">
      <c r="A36" s="2348"/>
      <c r="B36" s="2349"/>
      <c r="C36" s="1067"/>
      <c r="D36" s="485"/>
      <c r="E36" s="492"/>
      <c r="F36" s="493"/>
      <c r="G36" s="488"/>
      <c r="H36" s="494"/>
      <c r="I36" s="494"/>
      <c r="J36" s="489"/>
      <c r="K36" s="1548" t="str">
        <f t="shared" si="0"/>
        <v/>
      </c>
      <c r="L36" s="1548"/>
      <c r="M36" s="1548"/>
      <c r="N36" s="1548"/>
      <c r="O36" s="1548"/>
      <c r="P36" s="1548"/>
      <c r="Q36" s="1548"/>
      <c r="R36" s="1548"/>
      <c r="S36" s="1548"/>
      <c r="T36" s="1548"/>
      <c r="U36" s="490"/>
      <c r="V36" s="1548"/>
      <c r="W36" s="1548"/>
      <c r="X36" s="1548"/>
      <c r="Y36" s="1548"/>
      <c r="Z36" s="1548"/>
      <c r="AA36" s="491"/>
      <c r="AB36" s="491"/>
      <c r="AC36" s="491"/>
      <c r="AD36" s="491"/>
      <c r="AE36" s="491"/>
    </row>
    <row r="37" spans="1:31" s="2013" customFormat="1" ht="0.75" hidden="1" customHeight="1">
      <c r="A37" s="2348"/>
      <c r="B37" s="2349"/>
      <c r="C37" s="1067"/>
      <c r="D37" s="485"/>
      <c r="E37" s="492"/>
      <c r="F37" s="493"/>
      <c r="G37" s="488"/>
      <c r="H37" s="494"/>
      <c r="I37" s="494"/>
      <c r="J37" s="489"/>
      <c r="K37" s="1548" t="str">
        <f t="shared" si="0"/>
        <v/>
      </c>
      <c r="L37" s="1548"/>
      <c r="M37" s="1548"/>
      <c r="N37" s="1548"/>
      <c r="O37" s="1548"/>
      <c r="P37" s="1548"/>
      <c r="Q37" s="1548"/>
      <c r="R37" s="1548"/>
      <c r="S37" s="1548"/>
      <c r="T37" s="1548"/>
      <c r="U37" s="490"/>
      <c r="V37" s="1548"/>
      <c r="W37" s="1548"/>
      <c r="X37" s="1548"/>
      <c r="Y37" s="1548"/>
      <c r="Z37" s="1548"/>
      <c r="AA37" s="491"/>
      <c r="AB37" s="491"/>
      <c r="AC37" s="491"/>
      <c r="AD37" s="491"/>
      <c r="AE37" s="491"/>
    </row>
    <row r="38" spans="1:31" s="2013" customFormat="1" ht="0.75" hidden="1" customHeight="1">
      <c r="A38" s="2348"/>
      <c r="B38" s="2349"/>
      <c r="C38" s="1067"/>
      <c r="D38" s="485"/>
      <c r="E38" s="492"/>
      <c r="F38" s="493"/>
      <c r="G38" s="488"/>
      <c r="H38" s="494"/>
      <c r="I38" s="494"/>
      <c r="J38" s="489"/>
      <c r="K38" s="1548" t="str">
        <f t="shared" si="0"/>
        <v/>
      </c>
      <c r="L38" s="1548"/>
      <c r="M38" s="1548"/>
      <c r="N38" s="1548"/>
      <c r="O38" s="1548"/>
      <c r="P38" s="1548"/>
      <c r="Q38" s="1548"/>
      <c r="R38" s="1548"/>
      <c r="S38" s="1548"/>
      <c r="T38" s="1548"/>
      <c r="U38" s="490"/>
      <c r="V38" s="1548"/>
      <c r="W38" s="1548"/>
      <c r="X38" s="1548"/>
      <c r="Y38" s="1548"/>
      <c r="Z38" s="1548"/>
      <c r="AA38" s="491"/>
      <c r="AB38" s="491"/>
      <c r="AC38" s="491"/>
      <c r="AD38" s="491"/>
      <c r="AE38" s="491"/>
    </row>
    <row r="39" spans="1:31" s="2013" customFormat="1" ht="0.75" hidden="1" customHeight="1">
      <c r="A39" s="2348"/>
      <c r="B39" s="2349"/>
      <c r="C39" s="1067"/>
      <c r="D39" s="485"/>
      <c r="E39" s="492"/>
      <c r="F39" s="493"/>
      <c r="G39" s="488"/>
      <c r="H39" s="423"/>
      <c r="I39" s="423"/>
      <c r="J39" s="489"/>
      <c r="K39" s="1548" t="str">
        <f t="shared" si="0"/>
        <v/>
      </c>
      <c r="L39" s="1548"/>
      <c r="M39" s="1548"/>
      <c r="N39" s="1548"/>
      <c r="O39" s="1548"/>
      <c r="P39" s="1548"/>
      <c r="Q39" s="1548"/>
      <c r="R39" s="1548"/>
      <c r="S39" s="1548"/>
      <c r="T39" s="1548"/>
      <c r="U39" s="490"/>
      <c r="V39" s="1548"/>
      <c r="W39" s="1548"/>
      <c r="X39" s="1548"/>
      <c r="Y39" s="1548"/>
      <c r="Z39" s="1548"/>
      <c r="AA39" s="491"/>
      <c r="AB39" s="491"/>
      <c r="AC39" s="491"/>
      <c r="AD39" s="491"/>
      <c r="AE39" s="491"/>
    </row>
    <row r="40" spans="1:31" s="1931" customFormat="1" ht="15" hidden="1" customHeight="1">
      <c r="A40" s="2348"/>
      <c r="C40" s="1548"/>
      <c r="D40" s="1545"/>
      <c r="E40" s="495"/>
      <c r="F40" s="496" t="s">
        <v>553</v>
      </c>
      <c r="G40" s="497"/>
      <c r="H40" s="498"/>
      <c r="I40" s="498"/>
      <c r="J40" s="219"/>
      <c r="K40" s="1548" t="str">
        <f t="shared" si="0"/>
        <v/>
      </c>
      <c r="L40" s="1548"/>
      <c r="M40" s="1548"/>
      <c r="R40" s="1548"/>
      <c r="U40" s="469"/>
      <c r="AA40" s="1544"/>
      <c r="AB40" s="1544"/>
      <c r="AC40" s="1544"/>
      <c r="AD40" s="1544"/>
      <c r="AE40" s="1544"/>
    </row>
    <row r="41" spans="1:31" ht="11.25" hidden="1" customHeight="1">
      <c r="A41" s="2348" t="s">
        <v>554</v>
      </c>
      <c r="D41" s="1550"/>
      <c r="E41" s="471" t="str">
        <f>FHD_NUM_P_5</f>
        <v/>
      </c>
      <c r="F41" s="1434" t="str">
        <f>FHD_P_5</f>
        <v/>
      </c>
      <c r="G41" s="1787" t="s">
        <v>536</v>
      </c>
      <c r="H41" s="482"/>
      <c r="I41" s="482"/>
      <c r="J41" s="207" t="str">
        <f>FHD_NOTE_P_5</f>
        <v/>
      </c>
      <c r="K41" s="1548" t="str">
        <f t="shared" si="0"/>
        <v/>
      </c>
    </row>
    <row r="42" spans="1:31" ht="11.25" hidden="1" customHeight="1">
      <c r="A42" s="2348"/>
      <c r="D42" s="1550"/>
      <c r="E42" s="471" t="str">
        <f>FHD_NUM_P_6</f>
        <v/>
      </c>
      <c r="F42" s="1434" t="str">
        <f>FHD_P_6</f>
        <v/>
      </c>
      <c r="G42" s="1787" t="s">
        <v>536</v>
      </c>
      <c r="H42" s="482"/>
      <c r="I42" s="482"/>
      <c r="J42" s="207" t="str">
        <f>FHD_NOTE_P_6</f>
        <v/>
      </c>
      <c r="K42" s="1548" t="str">
        <f t="shared" si="0"/>
        <v/>
      </c>
    </row>
    <row r="43" spans="1:31" ht="11.25" hidden="1" customHeight="1">
      <c r="A43" s="2348"/>
      <c r="D43" s="1550"/>
      <c r="E43" s="471" t="str">
        <f>FHD_NUM_P_7</f>
        <v/>
      </c>
      <c r="F43" s="1434" t="str">
        <f>FHD_P_7</f>
        <v/>
      </c>
      <c r="G43" s="1787" t="s">
        <v>536</v>
      </c>
      <c r="H43" s="482"/>
      <c r="I43" s="482"/>
      <c r="J43" s="207" t="str">
        <f>FHD_NOTE_P_7</f>
        <v/>
      </c>
      <c r="K43" s="1548" t="str">
        <f t="shared" si="0"/>
        <v/>
      </c>
    </row>
    <row r="44" spans="1:31" ht="11.25" customHeight="1">
      <c r="D44" s="1550"/>
      <c r="E44" s="471" t="str">
        <f>FHD_NUM_P_8</f>
        <v>2.2</v>
      </c>
      <c r="F44" s="1434" t="str">
        <f>FHD_P_8</f>
        <v>Расходы на приобретаемую электрическую энергию (мощность), используемую в технологическом процессе</v>
      </c>
      <c r="G44" s="1787" t="s">
        <v>536</v>
      </c>
      <c r="H44" s="482"/>
      <c r="I44" s="482"/>
      <c r="J44" s="207" t="str">
        <f>FHD_NOTE_P_8</f>
        <v/>
      </c>
      <c r="K44" s="1548" t="str">
        <f t="shared" si="0"/>
        <v>p</v>
      </c>
    </row>
    <row r="45" spans="1:31" ht="11.25" customHeight="1">
      <c r="D45" s="1550"/>
      <c r="E45" s="471" t="str">
        <f>FHD_NUM_P_9</f>
        <v>2.2.1</v>
      </c>
      <c r="F45" s="1561" t="str">
        <f>FHD_P_9</f>
        <v>Средневзвешенная стоимость 1 кВт.ч (с учетом мощности)</v>
      </c>
      <c r="G45" s="1787" t="s">
        <v>555</v>
      </c>
      <c r="H45" s="482"/>
      <c r="I45" s="482"/>
      <c r="J45" s="207" t="str">
        <f>FHD_NOTE_P_9</f>
        <v/>
      </c>
      <c r="K45" s="1548" t="str">
        <f t="shared" si="0"/>
        <v/>
      </c>
    </row>
    <row r="46" spans="1:31" s="1931" customFormat="1" ht="11.25" customHeight="1">
      <c r="A46" s="895"/>
      <c r="C46" s="1548"/>
      <c r="D46" s="499"/>
      <c r="E46" s="471" t="str">
        <f>FHD_NUM_P_10</f>
        <v>2.2.2</v>
      </c>
      <c r="F46" s="1561" t="str">
        <f>FHD_P_10</f>
        <v>Объём приобретения электрической энергии</v>
      </c>
      <c r="G46" s="1787" t="s">
        <v>556</v>
      </c>
      <c r="H46" s="482"/>
      <c r="I46" s="482"/>
      <c r="J46" s="207" t="str">
        <f>FHD_NOTE_P_10</f>
        <v/>
      </c>
      <c r="K46" s="1548" t="str">
        <f t="shared" si="0"/>
        <v/>
      </c>
      <c r="L46" s="1548"/>
      <c r="M46" s="1548"/>
      <c r="R46" s="1548"/>
      <c r="U46" s="469"/>
      <c r="AA46" s="1544"/>
      <c r="AB46" s="1544"/>
      <c r="AC46" s="1544"/>
      <c r="AD46" s="1544"/>
      <c r="AE46" s="1544"/>
    </row>
    <row r="47" spans="1:31" s="1931" customFormat="1" ht="11.25" hidden="1" customHeight="1">
      <c r="A47" s="897" t="s">
        <v>557</v>
      </c>
      <c r="C47" s="1548"/>
      <c r="D47" s="500"/>
      <c r="E47" s="471" t="str">
        <f>FHD_NUM_P_11</f>
        <v/>
      </c>
      <c r="F47" s="1434" t="str">
        <f>FHD_P_11</f>
        <v/>
      </c>
      <c r="G47" s="1787" t="s">
        <v>536</v>
      </c>
      <c r="H47" s="482"/>
      <c r="I47" s="482"/>
      <c r="J47" s="207" t="str">
        <f>FHD_NOTE_P_11</f>
        <v/>
      </c>
      <c r="K47" s="1548" t="str">
        <f t="shared" si="0"/>
        <v/>
      </c>
      <c r="L47" s="1548"/>
      <c r="M47" s="1548"/>
      <c r="R47" s="1548"/>
      <c r="U47" s="469"/>
      <c r="AA47" s="1544"/>
      <c r="AB47" s="1544"/>
      <c r="AC47" s="1544"/>
      <c r="AD47" s="1544"/>
      <c r="AE47" s="1544"/>
    </row>
    <row r="48" spans="1:31" s="1931" customFormat="1" ht="18" customHeight="1">
      <c r="A48" s="897" t="s">
        <v>558</v>
      </c>
      <c r="C48" s="1548"/>
      <c r="D48" s="1550"/>
      <c r="E48" s="471" t="str">
        <f>FHD_NUM_P_12</f>
        <v>2.3</v>
      </c>
      <c r="F48" s="1434" t="str">
        <f>FHD_P_12</f>
        <v>Расходы на химические реагенты, используемые в технологическом процессе</v>
      </c>
      <c r="G48" s="1787" t="s">
        <v>536</v>
      </c>
      <c r="H48" s="502"/>
      <c r="I48" s="502"/>
      <c r="J48" s="207" t="str">
        <f>FHD_NOTE_P_12</f>
        <v/>
      </c>
      <c r="K48" s="1548" t="str">
        <f t="shared" si="0"/>
        <v>p</v>
      </c>
      <c r="L48" s="1548"/>
      <c r="M48" s="1548"/>
      <c r="R48" s="1548"/>
      <c r="U48" s="469"/>
      <c r="AA48" s="1544"/>
      <c r="AB48" s="1544"/>
      <c r="AC48" s="1544"/>
      <c r="AD48" s="1544"/>
      <c r="AE48" s="1544"/>
    </row>
    <row r="49" spans="1:31" s="1935" customFormat="1" ht="11.25" customHeight="1">
      <c r="A49" s="896"/>
      <c r="C49" s="649"/>
      <c r="D49" s="594"/>
      <c r="E49" s="471" t="str">
        <f>FHD_NUM_P_13</f>
        <v>2.4</v>
      </c>
      <c r="F49" s="143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87" t="s">
        <v>536</v>
      </c>
      <c r="H49" s="482"/>
      <c r="I49" s="482"/>
      <c r="J49" s="207" t="str">
        <f>FHD_NOTE_P_13</f>
        <v>Указывается общая сумма расходов на оплату труда и отчислений на социальные нужды основного производственного персонала.</v>
      </c>
      <c r="K49" s="1548" t="str">
        <f t="shared" si="0"/>
        <v>p</v>
      </c>
      <c r="L49" s="649"/>
      <c r="M49" s="649"/>
      <c r="R49" s="649"/>
      <c r="U49" s="650"/>
      <c r="AA49" s="651"/>
      <c r="AB49" s="651"/>
      <c r="AC49" s="651"/>
      <c r="AD49" s="651"/>
      <c r="AE49" s="651"/>
    </row>
    <row r="50" spans="1:31" s="1935" customFormat="1" ht="11.25" customHeight="1">
      <c r="A50" s="896"/>
      <c r="C50" s="649"/>
      <c r="D50" s="594"/>
      <c r="E50" s="471" t="str">
        <f>FHD_NUM_P_14</f>
        <v>2.4.1</v>
      </c>
      <c r="F50" s="1561" t="str">
        <f>FHD_P_14</f>
        <v>Расходы на оплату труда основного производственного персонала</v>
      </c>
      <c r="G50" s="1787" t="s">
        <v>536</v>
      </c>
      <c r="H50" s="482"/>
      <c r="I50" s="482"/>
      <c r="J50" s="207" t="str">
        <f>FHD_NOTE_P_14</f>
        <v/>
      </c>
      <c r="K50" s="1548" t="str">
        <f t="shared" si="0"/>
        <v/>
      </c>
      <c r="L50" s="649"/>
      <c r="M50" s="649"/>
      <c r="R50" s="649"/>
      <c r="U50" s="650"/>
      <c r="AA50" s="651"/>
      <c r="AB50" s="651"/>
      <c r="AC50" s="651"/>
      <c r="AD50" s="651"/>
      <c r="AE50" s="651"/>
    </row>
    <row r="51" spans="1:31" s="1935" customFormat="1" ht="11.25" customHeight="1">
      <c r="A51" s="896"/>
      <c r="C51" s="649"/>
      <c r="D51" s="594"/>
      <c r="E51" s="471" t="str">
        <f>FHD_NUM_P_15</f>
        <v>2.4.2</v>
      </c>
      <c r="F51" s="1561" t="str">
        <f>FHD_P_15</f>
        <v>Страховые взносы на обязательное социальное страхование, выплачиваемые из фонда оплаты труда основного производственного персонала</v>
      </c>
      <c r="G51" s="1787" t="s">
        <v>536</v>
      </c>
      <c r="H51" s="482"/>
      <c r="I51" s="482"/>
      <c r="J51" s="207" t="str">
        <f>FHD_NOTE_P_15</f>
        <v/>
      </c>
      <c r="K51" s="1548" t="str">
        <f t="shared" si="0"/>
        <v/>
      </c>
      <c r="L51" s="649"/>
      <c r="M51" s="649"/>
      <c r="R51" s="649"/>
      <c r="U51" s="650"/>
      <c r="AA51" s="651"/>
      <c r="AB51" s="651"/>
      <c r="AC51" s="651"/>
      <c r="AD51" s="651"/>
      <c r="AE51" s="651"/>
    </row>
    <row r="52" spans="1:31" s="1931" customFormat="1" ht="11.25" customHeight="1">
      <c r="A52" s="895"/>
      <c r="C52" s="1548"/>
      <c r="D52" s="1550"/>
      <c r="E52" s="471" t="str">
        <f>FHD_NUM_P_16</f>
        <v>2.5</v>
      </c>
      <c r="F52" s="143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87" t="s">
        <v>536</v>
      </c>
      <c r="H52" s="482"/>
      <c r="I52" s="482"/>
      <c r="J52" s="207" t="str">
        <f>FHD_NOTE_P_16</f>
        <v>Указывается общая сумма расходов на оплату труда и отчислений на социальные нужды административно-управленческого персонала.</v>
      </c>
      <c r="K52" s="1548" t="str">
        <f t="shared" si="0"/>
        <v>p</v>
      </c>
      <c r="L52" s="1548"/>
      <c r="M52" s="1553"/>
      <c r="N52" s="462"/>
      <c r="O52" s="462"/>
      <c r="R52" s="1548"/>
      <c r="U52" s="469"/>
      <c r="AA52" s="1544"/>
      <c r="AB52" s="1544"/>
      <c r="AC52" s="1544"/>
      <c r="AD52" s="1544"/>
      <c r="AE52" s="1544"/>
    </row>
    <row r="53" spans="1:31" s="1931" customFormat="1" ht="11.25" customHeight="1">
      <c r="A53" s="895"/>
      <c r="C53" s="1548"/>
      <c r="D53" s="1550"/>
      <c r="E53" s="471" t="str">
        <f>FHD_NUM_P_17</f>
        <v>2.5.1</v>
      </c>
      <c r="F53" s="1561" t="str">
        <f>FHD_P_17</f>
        <v>Расходы на оплату труда административно-управленческого персонала</v>
      </c>
      <c r="G53" s="1787" t="s">
        <v>536</v>
      </c>
      <c r="H53" s="482"/>
      <c r="I53" s="482"/>
      <c r="J53" s="207" t="str">
        <f>FHD_NOTE_P_17</f>
        <v/>
      </c>
      <c r="K53" s="1548" t="str">
        <f t="shared" si="0"/>
        <v/>
      </c>
      <c r="L53" s="1548"/>
      <c r="M53" s="1553"/>
      <c r="N53" s="462"/>
      <c r="O53" s="462"/>
      <c r="R53" s="1548"/>
      <c r="U53" s="469"/>
      <c r="AA53" s="1544"/>
      <c r="AB53" s="1544"/>
      <c r="AC53" s="1544"/>
      <c r="AD53" s="1544"/>
      <c r="AE53" s="1544"/>
    </row>
    <row r="54" spans="1:31" s="1931" customFormat="1" ht="11.25" customHeight="1">
      <c r="A54" s="895"/>
      <c r="C54" s="1548"/>
      <c r="D54" s="1550"/>
      <c r="E54" s="471" t="str">
        <f>FHD_NUM_P_18</f>
        <v>2.5.2</v>
      </c>
      <c r="F54" s="156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87" t="s">
        <v>536</v>
      </c>
      <c r="H54" s="482"/>
      <c r="I54" s="482"/>
      <c r="J54" s="207" t="str">
        <f>FHD_NOTE_P_18</f>
        <v/>
      </c>
      <c r="K54" s="1548" t="str">
        <f t="shared" si="0"/>
        <v/>
      </c>
      <c r="L54" s="1548"/>
      <c r="M54" s="1553"/>
      <c r="N54" s="462"/>
      <c r="O54" s="462"/>
      <c r="R54" s="1548"/>
      <c r="U54" s="469"/>
      <c r="AA54" s="1544"/>
      <c r="AB54" s="1544"/>
      <c r="AC54" s="1544"/>
      <c r="AD54" s="1544"/>
      <c r="AE54" s="1544"/>
    </row>
    <row r="55" spans="1:31" s="1931" customFormat="1" ht="11.25" customHeight="1">
      <c r="A55" s="895"/>
      <c r="C55" s="1548"/>
      <c r="D55" s="500"/>
      <c r="E55" s="471" t="str">
        <f>FHD_NUM_P_19</f>
        <v>2.6</v>
      </c>
      <c r="F55" s="1434" t="str">
        <f>FHD_P_19</f>
        <v>Расходы на амортизацию основных средств и нематериальных активов</v>
      </c>
      <c r="G55" s="1787" t="s">
        <v>536</v>
      </c>
      <c r="H55" s="482"/>
      <c r="I55" s="482"/>
      <c r="J55" s="207" t="str">
        <f>FHD_NOTE_P_19</f>
        <v/>
      </c>
      <c r="K55" s="1548" t="str">
        <f t="shared" si="0"/>
        <v>p</v>
      </c>
      <c r="L55" s="1548"/>
      <c r="M55" s="1548"/>
      <c r="R55" s="1548"/>
      <c r="U55" s="469"/>
      <c r="AA55" s="1544"/>
      <c r="AB55" s="1544"/>
      <c r="AC55" s="1544"/>
      <c r="AD55" s="1544"/>
      <c r="AE55" s="1544"/>
    </row>
    <row r="56" spans="1:31" s="1931" customFormat="1" ht="11.25" customHeight="1">
      <c r="A56" s="895"/>
      <c r="C56" s="1548"/>
      <c r="D56" s="500"/>
      <c r="E56" s="471" t="str">
        <f>FHD_NUM_P_20</f>
        <v>2.6.1</v>
      </c>
      <c r="F56" s="1561" t="str">
        <f>FHD_P_20</f>
        <v>Расходы на амортизацию основных средств</v>
      </c>
      <c r="G56" s="1787" t="s">
        <v>536</v>
      </c>
      <c r="H56" s="482"/>
      <c r="I56" s="482"/>
      <c r="J56" s="207" t="str">
        <f>FHD_NOTE_P_20</f>
        <v/>
      </c>
      <c r="K56" s="1548" t="str">
        <f t="shared" si="0"/>
        <v/>
      </c>
      <c r="L56" s="1548"/>
      <c r="M56" s="1548"/>
      <c r="R56" s="1548"/>
      <c r="U56" s="469"/>
      <c r="AA56" s="1544"/>
      <c r="AB56" s="1544"/>
      <c r="AC56" s="1544"/>
      <c r="AD56" s="1544"/>
      <c r="AE56" s="1544"/>
    </row>
    <row r="57" spans="1:31" s="1931" customFormat="1" ht="11.25" customHeight="1">
      <c r="A57" s="895"/>
      <c r="C57" s="1548"/>
      <c r="D57" s="500"/>
      <c r="E57" s="471" t="str">
        <f>FHD_NUM_P_21</f>
        <v>2.6.2</v>
      </c>
      <c r="F57" s="1561" t="str">
        <f>FHD_P_21</f>
        <v>Расходы на амортизацию нематериальных активов</v>
      </c>
      <c r="G57" s="1787" t="s">
        <v>536</v>
      </c>
      <c r="H57" s="482"/>
      <c r="I57" s="482"/>
      <c r="J57" s="207" t="str">
        <f>FHD_NOTE_P_21</f>
        <v/>
      </c>
      <c r="K57" s="1548" t="str">
        <f t="shared" si="0"/>
        <v/>
      </c>
      <c r="L57" s="1548"/>
      <c r="M57" s="1548"/>
      <c r="R57" s="1548"/>
      <c r="U57" s="469"/>
      <c r="AA57" s="1544"/>
      <c r="AB57" s="1544"/>
      <c r="AC57" s="1544"/>
      <c r="AD57" s="1544"/>
      <c r="AE57" s="1544"/>
    </row>
    <row r="58" spans="1:31" s="1931" customFormat="1" ht="11.25" customHeight="1">
      <c r="A58" s="895"/>
      <c r="C58" s="1548"/>
      <c r="D58" s="1550"/>
      <c r="E58" s="471" t="str">
        <f>FHD_NUM_P_22</f>
        <v>2.7</v>
      </c>
      <c r="F58" s="1434" t="str">
        <f>FHD_P_22</f>
        <v>Расходы на аренду имущества, используемого для осуществления регулируемых видов деятельности в сфере холодного водоснабжения</v>
      </c>
      <c r="G58" s="1787" t="s">
        <v>536</v>
      </c>
      <c r="H58" s="482"/>
      <c r="I58" s="482"/>
      <c r="J58" s="207" t="str">
        <f>FHD_NOTE_P_22</f>
        <v/>
      </c>
      <c r="K58" s="1548" t="str">
        <f t="shared" si="0"/>
        <v>p</v>
      </c>
      <c r="L58" s="1548"/>
      <c r="M58" s="1548"/>
      <c r="R58" s="1548"/>
      <c r="U58" s="469"/>
      <c r="AA58" s="1544"/>
      <c r="AB58" s="1544"/>
      <c r="AC58" s="1544"/>
      <c r="AD58" s="1544"/>
      <c r="AE58" s="1544"/>
    </row>
    <row r="59" spans="1:31" s="1931" customFormat="1" ht="11.25" customHeight="1">
      <c r="A59" s="895"/>
      <c r="C59" s="1548"/>
      <c r="D59" s="500"/>
      <c r="E59" s="471" t="str">
        <f>FHD_NUM_P_23</f>
        <v>2.8</v>
      </c>
      <c r="F59" s="1434" t="str">
        <f>FHD_P_23</f>
        <v>Общепроизводственные расходы, в том числе:</v>
      </c>
      <c r="G59" s="1787" t="s">
        <v>536</v>
      </c>
      <c r="H59" s="482"/>
      <c r="I59" s="482"/>
      <c r="J59" s="207" t="str">
        <f>FHD_NOTE_P_23</f>
        <v>Указывается общая сумма общепроизводственных расходов.</v>
      </c>
      <c r="K59" s="1548" t="str">
        <f t="shared" si="0"/>
        <v>p</v>
      </c>
      <c r="L59" s="1548"/>
      <c r="M59" s="1548"/>
      <c r="R59" s="1548"/>
      <c r="U59" s="469"/>
      <c r="AA59" s="1544"/>
      <c r="AB59" s="1544"/>
      <c r="AC59" s="1544"/>
      <c r="AD59" s="1544"/>
      <c r="AE59" s="1544"/>
    </row>
    <row r="60" spans="1:31" s="1931" customFormat="1" ht="11.25" customHeight="1">
      <c r="A60" s="895"/>
      <c r="C60" s="1548"/>
      <c r="D60" s="500"/>
      <c r="E60" s="471" t="str">
        <f>FHD_NUM_P_24</f>
        <v>2.8.1</v>
      </c>
      <c r="F60" s="1561" t="str">
        <f>FHD_P_24</f>
        <v>Расходы на текущий ремонт</v>
      </c>
      <c r="G60" s="1787" t="s">
        <v>536</v>
      </c>
      <c r="H60" s="482"/>
      <c r="I60" s="482"/>
      <c r="J60" s="207" t="str">
        <f>FHD_NOTE_P_24</f>
        <v>Указываются расходы на текущий ремонт, отнесенные к общепроизводственным расходам.</v>
      </c>
      <c r="K60" s="1548" t="str">
        <f t="shared" si="0"/>
        <v/>
      </c>
      <c r="L60" s="1548"/>
      <c r="M60" s="1548"/>
      <c r="R60" s="1548"/>
      <c r="U60" s="469"/>
      <c r="AA60" s="1544"/>
      <c r="AB60" s="1544"/>
      <c r="AC60" s="1544"/>
      <c r="AD60" s="1544"/>
      <c r="AE60" s="1544"/>
    </row>
    <row r="61" spans="1:31" s="1931" customFormat="1" ht="11.25" customHeight="1">
      <c r="A61" s="895"/>
      <c r="C61" s="1548"/>
      <c r="D61" s="500"/>
      <c r="E61" s="471" t="str">
        <f>FHD_NUM_P_25</f>
        <v>2.8.2</v>
      </c>
      <c r="F61" s="1561" t="str">
        <f>FHD_P_25</f>
        <v>Расходы на капитальный ремонт</v>
      </c>
      <c r="G61" s="1787" t="s">
        <v>536</v>
      </c>
      <c r="H61" s="482"/>
      <c r="I61" s="482"/>
      <c r="J61" s="207" t="str">
        <f>FHD_NOTE_P_25</f>
        <v>Указываются расходы на капитальный ремонт, отнесенные к общепроизводственным расходам.</v>
      </c>
      <c r="K61" s="1548" t="str">
        <f t="shared" si="0"/>
        <v/>
      </c>
      <c r="L61" s="1548"/>
      <c r="M61" s="1548"/>
      <c r="R61" s="1548"/>
      <c r="U61" s="469"/>
      <c r="AA61" s="1544"/>
      <c r="AB61" s="1544"/>
      <c r="AC61" s="1544"/>
      <c r="AD61" s="1544"/>
      <c r="AE61" s="1544"/>
    </row>
    <row r="62" spans="1:31" s="1931" customFormat="1" ht="11.25" customHeight="1">
      <c r="A62" s="895"/>
      <c r="C62" s="1548"/>
      <c r="D62" s="1550"/>
      <c r="E62" s="471" t="str">
        <f>FHD_NUM_P_26</f>
        <v>2.9</v>
      </c>
      <c r="F62" s="1434" t="str">
        <f>FHD_P_26</f>
        <v>Общехозяйственные расходы, в том числе:</v>
      </c>
      <c r="G62" s="1787" t="s">
        <v>536</v>
      </c>
      <c r="H62" s="482"/>
      <c r="I62" s="482"/>
      <c r="J62" s="207" t="str">
        <f>FHD_NOTE_P_26</f>
        <v>Указывается общая сумма общехозяйственных расходов.</v>
      </c>
      <c r="K62" s="1548" t="str">
        <f t="shared" si="0"/>
        <v>p</v>
      </c>
      <c r="L62" s="1548"/>
      <c r="M62" s="1548"/>
      <c r="R62" s="1548"/>
      <c r="U62" s="469"/>
      <c r="AA62" s="1544"/>
      <c r="AB62" s="1544"/>
      <c r="AC62" s="1544"/>
      <c r="AD62" s="1544"/>
      <c r="AE62" s="1544"/>
    </row>
    <row r="63" spans="1:31" s="1931" customFormat="1" ht="11.25" customHeight="1">
      <c r="A63" s="895"/>
      <c r="C63" s="1548"/>
      <c r="D63" s="1550"/>
      <c r="E63" s="471" t="str">
        <f>FHD_NUM_P_27</f>
        <v>2.9.1</v>
      </c>
      <c r="F63" s="1561" t="str">
        <f>FHD_P_27</f>
        <v>Расходы на текущий ремонт</v>
      </c>
      <c r="G63" s="1787" t="s">
        <v>536</v>
      </c>
      <c r="H63" s="482"/>
      <c r="I63" s="482"/>
      <c r="J63" s="207" t="str">
        <f>FHD_NOTE_P_27</f>
        <v>Указываются расходы на текущий ремонт, отнесенные к общехозяйственным расходам.</v>
      </c>
      <c r="K63" s="1548" t="str">
        <f t="shared" si="0"/>
        <v/>
      </c>
      <c r="L63" s="1548"/>
      <c r="M63" s="1548"/>
      <c r="R63" s="1548"/>
      <c r="U63" s="469"/>
      <c r="AA63" s="1544"/>
      <c r="AB63" s="1544"/>
      <c r="AC63" s="1544"/>
      <c r="AD63" s="1544"/>
      <c r="AE63" s="1544"/>
    </row>
    <row r="64" spans="1:31" s="1931" customFormat="1" ht="11.25" customHeight="1">
      <c r="A64" s="895"/>
      <c r="C64" s="1548"/>
      <c r="D64" s="1550"/>
      <c r="E64" s="471" t="str">
        <f>FHD_NUM_P_28</f>
        <v>2.9.2</v>
      </c>
      <c r="F64" s="1561" t="str">
        <f>FHD_P_28</f>
        <v>Расходы на капитальный ремонт</v>
      </c>
      <c r="G64" s="1787" t="s">
        <v>536</v>
      </c>
      <c r="H64" s="482"/>
      <c r="I64" s="482"/>
      <c r="J64" s="207" t="str">
        <f>FHD_NOTE_P_28</f>
        <v>Указываются расходы на капитальный ремонт, отнесенные к общехозяйственным расходам.</v>
      </c>
      <c r="K64" s="1548" t="str">
        <f t="shared" si="0"/>
        <v/>
      </c>
      <c r="L64" s="1548"/>
      <c r="M64" s="1548"/>
      <c r="R64" s="1548"/>
      <c r="U64" s="469"/>
      <c r="AA64" s="1544"/>
      <c r="AB64" s="1544"/>
      <c r="AC64" s="1544"/>
      <c r="AD64" s="1544"/>
      <c r="AE64" s="1544"/>
    </row>
    <row r="65" spans="1:31" s="1931" customFormat="1" ht="11.25" customHeight="1">
      <c r="A65" s="895"/>
      <c r="C65" s="1548"/>
      <c r="D65" s="1550"/>
      <c r="E65" s="471" t="str">
        <f>FHD_NUM_P_29</f>
        <v>2.10</v>
      </c>
      <c r="F65" s="1434" t="str">
        <f>FHD_P_29</f>
        <v>Расходы на капитальный и текущий ремонт основных средств</v>
      </c>
      <c r="G65" s="1787" t="s">
        <v>536</v>
      </c>
      <c r="H65" s="482"/>
      <c r="I65" s="482"/>
      <c r="J65" s="20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48" t="str">
        <f t="shared" si="0"/>
        <v>p</v>
      </c>
      <c r="L65" s="1548"/>
      <c r="M65" s="1548"/>
      <c r="R65" s="1548"/>
      <c r="U65" s="469"/>
      <c r="AA65" s="1544"/>
      <c r="AB65" s="1544"/>
      <c r="AC65" s="1544"/>
      <c r="AD65" s="1544"/>
      <c r="AE65" s="1544"/>
    </row>
    <row r="66" spans="1:31" s="1931" customFormat="1" ht="11.25" customHeight="1">
      <c r="A66" s="895"/>
      <c r="C66" s="1548"/>
      <c r="D66" s="1550"/>
      <c r="E66" s="471" t="str">
        <f>FHD_NUM_P_30</f>
        <v>2.10.1</v>
      </c>
      <c r="F66" s="156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87" t="s">
        <v>295</v>
      </c>
      <c r="H66" s="1560" t="s">
        <v>559</v>
      </c>
      <c r="I66" s="1560" t="s">
        <v>559</v>
      </c>
      <c r="J66" s="207" t="str">
        <f>FHD_NOTE_P_30</f>
        <v/>
      </c>
      <c r="K66" s="1548" t="str">
        <f t="shared" si="0"/>
        <v/>
      </c>
      <c r="L66" s="1548">
        <f>IFERROR(MATCH("есть",B_FHD_FLAG_INDEX_1,0),0)</f>
        <v>0</v>
      </c>
      <c r="M66" s="1548"/>
      <c r="R66" s="1548"/>
      <c r="U66" s="469"/>
      <c r="AA66" s="1544"/>
      <c r="AB66" s="1544"/>
      <c r="AC66" s="1544"/>
      <c r="AD66" s="1544"/>
      <c r="AE66" s="1544"/>
    </row>
    <row r="67" spans="1:31" s="1931" customFormat="1" ht="22.5" customHeight="1">
      <c r="A67" s="2348" t="s">
        <v>560</v>
      </c>
      <c r="C67" s="1548"/>
      <c r="D67" s="1550"/>
      <c r="E67" s="471" t="str">
        <f>FHD_NUM_P_31</f>
        <v>2.11</v>
      </c>
      <c r="F67" s="1434"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787" t="s">
        <v>536</v>
      </c>
      <c r="H67" s="482"/>
      <c r="I67" s="482"/>
      <c r="J67" s="20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48" t="str">
        <f t="shared" si="0"/>
        <v>p</v>
      </c>
      <c r="L67" s="1548"/>
      <c r="M67" s="1548"/>
      <c r="R67" s="1548"/>
      <c r="U67" s="469"/>
      <c r="AA67" s="1544"/>
      <c r="AB67" s="1544"/>
      <c r="AC67" s="1544"/>
      <c r="AD67" s="1544"/>
      <c r="AE67" s="1544"/>
    </row>
    <row r="68" spans="1:31" s="1931" customFormat="1" ht="45" customHeight="1">
      <c r="A68" s="2348"/>
      <c r="C68" s="1548"/>
      <c r="D68" s="1550"/>
      <c r="E68" s="471" t="str">
        <f>FHD_NUM_P_32</f>
        <v>2.11.1</v>
      </c>
      <c r="F68" s="156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87" t="s">
        <v>295</v>
      </c>
      <c r="H68" s="1560" t="s">
        <v>559</v>
      </c>
      <c r="I68" s="1560" t="s">
        <v>559</v>
      </c>
      <c r="J68" s="207" t="str">
        <f>FHD_NOTE_P_32</f>
        <v/>
      </c>
      <c r="K68" s="1548" t="str">
        <f t="shared" si="0"/>
        <v/>
      </c>
      <c r="L68" s="1548">
        <f>IFERROR(MATCH("есть",B_FHD_FLAG_INDEX_2,0),0)</f>
        <v>0</v>
      </c>
      <c r="M68" s="1548"/>
      <c r="R68" s="1548"/>
      <c r="U68" s="469"/>
      <c r="AA68" s="1544"/>
      <c r="AB68" s="1544"/>
      <c r="AC68" s="1544"/>
      <c r="AD68" s="1544"/>
      <c r="AE68" s="1544"/>
    </row>
    <row r="69" spans="1:31" s="1931" customFormat="1" ht="11.25" customHeight="1">
      <c r="A69" s="895"/>
      <c r="C69" s="1548"/>
      <c r="D69" s="1550"/>
      <c r="E69" s="471" t="str">
        <f>FHD_NUM_P_33</f>
        <v>2.12</v>
      </c>
      <c r="F69" s="1434"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788" t="s">
        <v>536</v>
      </c>
      <c r="H69" s="504">
        <f>SUM(H70:H71)</f>
        <v>0</v>
      </c>
      <c r="I69" s="504">
        <f>SUM(I70:I71)</f>
        <v>0</v>
      </c>
      <c r="J69" s="20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48" t="str">
        <f t="shared" si="0"/>
        <v>p</v>
      </c>
      <c r="L69" s="1548"/>
      <c r="M69" s="1548"/>
      <c r="R69" s="1548"/>
      <c r="U69" s="469"/>
      <c r="AA69" s="1544"/>
      <c r="AB69" s="1544"/>
      <c r="AC69" s="1544"/>
      <c r="AD69" s="1544"/>
      <c r="AE69" s="1544"/>
    </row>
    <row r="70" spans="1:31" s="2010" customFormat="1" ht="0.75" customHeight="1">
      <c r="A70" s="1067"/>
      <c r="D70" s="473"/>
      <c r="E70" s="920" t="str">
        <f>E69&amp;".0"</f>
        <v>2.12.0</v>
      </c>
      <c r="F70" s="899"/>
      <c r="G70" s="920"/>
      <c r="H70" s="900"/>
      <c r="I70" s="900"/>
      <c r="J70" s="901"/>
      <c r="K70" s="1548" t="str">
        <f t="shared" si="0"/>
        <v/>
      </c>
    </row>
    <row r="71" spans="1:31" s="1931" customFormat="1" ht="14.25" customHeight="1">
      <c r="A71" s="895"/>
      <c r="C71" s="1548"/>
      <c r="D71" s="1545"/>
      <c r="E71" s="495"/>
      <c r="F71" s="496" t="s">
        <v>561</v>
      </c>
      <c r="G71" s="497"/>
      <c r="H71" s="498"/>
      <c r="I71" s="498"/>
      <c r="J71" s="219"/>
      <c r="K71" s="1548"/>
      <c r="L71" s="1548"/>
      <c r="M71" s="1548"/>
      <c r="R71" s="1548"/>
      <c r="U71" s="469"/>
      <c r="AA71" s="1544"/>
      <c r="AB71" s="1544"/>
      <c r="AC71" s="1544"/>
      <c r="AD71" s="1544"/>
      <c r="AE71" s="1544"/>
    </row>
    <row r="72" spans="1:31" s="1931" customFormat="1" ht="18.75" hidden="1" customHeight="1">
      <c r="A72" s="897" t="s">
        <v>562</v>
      </c>
      <c r="C72" s="1548"/>
      <c r="D72" s="1550"/>
      <c r="E72" s="471" t="str">
        <f>FHD_NUM_P_34</f>
        <v/>
      </c>
      <c r="F72" s="1789" t="str">
        <f>FHD_P_34</f>
        <v/>
      </c>
      <c r="G72" s="1787" t="s">
        <v>536</v>
      </c>
      <c r="H72" s="482"/>
      <c r="I72" s="482"/>
      <c r="J72" s="207" t="str">
        <f>FHD_NOTE_P_34</f>
        <v/>
      </c>
      <c r="K72" s="468"/>
      <c r="L72" s="1548"/>
      <c r="M72" s="1548"/>
      <c r="R72" s="1548"/>
      <c r="U72" s="469"/>
      <c r="AA72" s="1544"/>
      <c r="AB72" s="1544"/>
      <c r="AC72" s="1544"/>
      <c r="AD72" s="1544"/>
      <c r="AE72" s="1544"/>
    </row>
    <row r="73" spans="1:31" s="1931" customFormat="1" ht="18.75" customHeight="1">
      <c r="A73" s="895"/>
      <c r="C73" s="1548"/>
      <c r="D73" s="500"/>
      <c r="E73" s="471" t="str">
        <f>FHD_NUM_P_35</f>
        <v>3</v>
      </c>
      <c r="F73" s="1789" t="str">
        <f>FHD_P_35</f>
        <v>Чистая прибыль, полученная от регулируемого вида деятельности в сфере холодного водоснабжения, в том числе:</v>
      </c>
      <c r="G73" s="1787" t="s">
        <v>536</v>
      </c>
      <c r="H73" s="482"/>
      <c r="I73" s="482"/>
      <c r="J73" s="207" t="str">
        <f>FHD_NOTE_P_35</f>
        <v>Указывается общая сумма чистой прибыли, полученной от регулируемого вида деятельности.</v>
      </c>
      <c r="K73" s="468"/>
      <c r="L73" s="1548"/>
      <c r="M73" s="1548"/>
      <c r="R73" s="1548"/>
      <c r="U73" s="469"/>
      <c r="AA73" s="1544"/>
      <c r="AB73" s="1544"/>
      <c r="AC73" s="1544"/>
      <c r="AD73" s="1544"/>
      <c r="AE73" s="1544"/>
    </row>
    <row r="74" spans="1:31" s="1931" customFormat="1" ht="18.75" customHeight="1">
      <c r="A74" s="895"/>
      <c r="C74" s="1548"/>
      <c r="D74" s="1550"/>
      <c r="E74" s="471" t="str">
        <f>FHD_NUM_P_36</f>
        <v>3.1</v>
      </c>
      <c r="F74" s="143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87" t="s">
        <v>536</v>
      </c>
      <c r="H74" s="482"/>
      <c r="I74" s="482"/>
      <c r="J74" s="207" t="str">
        <f>FHD_NOTE_P_36</f>
        <v/>
      </c>
      <c r="K74" s="468"/>
      <c r="L74" s="1548"/>
      <c r="M74" s="1548"/>
      <c r="R74" s="1548"/>
      <c r="U74" s="469"/>
      <c r="AA74" s="1544"/>
      <c r="AB74" s="1544"/>
      <c r="AC74" s="1544"/>
      <c r="AD74" s="1544"/>
      <c r="AE74" s="1544"/>
    </row>
    <row r="75" spans="1:31" s="1931" customFormat="1" ht="18.75" customHeight="1">
      <c r="A75" s="895"/>
      <c r="C75" s="1548"/>
      <c r="D75" s="1550"/>
      <c r="E75" s="471" t="str">
        <f>FHD_NUM_P_37</f>
        <v>4</v>
      </c>
      <c r="F75" s="1789" t="str">
        <f>FHD_P_37</f>
        <v>Изменение стоимости основных фондов, в том числе:</v>
      </c>
      <c r="G75" s="1787" t="s">
        <v>536</v>
      </c>
      <c r="H75" s="482"/>
      <c r="I75" s="482"/>
      <c r="J75" s="207" t="str">
        <f>FHD_NOTE_P_37</f>
        <v>Указывается общее изменение стоимости основных фондов.</v>
      </c>
      <c r="K75" s="468"/>
      <c r="L75" s="1548"/>
      <c r="M75" s="1548"/>
      <c r="R75" s="1548"/>
      <c r="U75" s="469"/>
      <c r="AA75" s="1544"/>
      <c r="AB75" s="1544"/>
      <c r="AC75" s="1544"/>
      <c r="AD75" s="1544"/>
      <c r="AE75" s="1544"/>
    </row>
    <row r="76" spans="1:31" s="1931" customFormat="1" ht="18.75" customHeight="1">
      <c r="A76" s="895"/>
      <c r="C76" s="1548"/>
      <c r="D76" s="1550"/>
      <c r="E76" s="471" t="str">
        <f>FHD_NUM_P_38</f>
        <v>4.1</v>
      </c>
      <c r="F76" s="1434" t="str">
        <f>FHD_P_38</f>
        <v>Изменение стоимости основных фондов за счет их ввода в эксплуатацию (вывода из эксплуатации)</v>
      </c>
      <c r="G76" s="1787" t="s">
        <v>536</v>
      </c>
      <c r="H76" s="482"/>
      <c r="I76" s="482"/>
      <c r="J76" s="207" t="str">
        <f>FHD_NOTE_P_38</f>
        <v>Указываются общее изменение стоимости основных фондов за счет их ввода в эксплуатацию и вывода из эксплуатации.</v>
      </c>
      <c r="K76" s="468"/>
      <c r="L76" s="1548"/>
      <c r="M76" s="1548"/>
      <c r="R76" s="1548"/>
      <c r="U76" s="469"/>
      <c r="AA76" s="1544"/>
      <c r="AB76" s="1544"/>
      <c r="AC76" s="1544"/>
      <c r="AD76" s="1544"/>
      <c r="AE76" s="1544"/>
    </row>
    <row r="77" spans="1:31" s="1931" customFormat="1" ht="18.75" customHeight="1">
      <c r="A77" s="895"/>
      <c r="C77" s="1548"/>
      <c r="D77" s="1550"/>
      <c r="E77" s="471" t="str">
        <f>FHD_NUM_P_39</f>
        <v>4.1.1</v>
      </c>
      <c r="F77" s="1561" t="str">
        <f>FHD_P_39</f>
        <v>Изменение стоимости основных фондов за счет их ввода в эксплуатацию</v>
      </c>
      <c r="G77" s="1787" t="s">
        <v>536</v>
      </c>
      <c r="H77" s="482"/>
      <c r="I77" s="482"/>
      <c r="J77" s="207" t="str">
        <f>FHD_NOTE_P_39</f>
        <v>Указываются изменение стоимости основных фондов за счет их ввода в эксплуатацию.</v>
      </c>
      <c r="K77" s="468"/>
      <c r="L77" s="1548"/>
      <c r="M77" s="1548"/>
      <c r="R77" s="1548"/>
      <c r="U77" s="469"/>
      <c r="AA77" s="1544"/>
      <c r="AB77" s="1544"/>
      <c r="AC77" s="1544"/>
      <c r="AD77" s="1544"/>
      <c r="AE77" s="1544"/>
    </row>
    <row r="78" spans="1:31" s="1931" customFormat="1" ht="18.75" customHeight="1">
      <c r="A78" s="895"/>
      <c r="C78" s="1548"/>
      <c r="D78" s="1550"/>
      <c r="E78" s="471" t="str">
        <f>FHD_NUM_P_40</f>
        <v>4.1.2</v>
      </c>
      <c r="F78" s="1561" t="str">
        <f>FHD_P_40</f>
        <v>Изменение стоимости основных фондов за счет их вывода в эксплуатацию</v>
      </c>
      <c r="G78" s="1787" t="s">
        <v>536</v>
      </c>
      <c r="H78" s="482"/>
      <c r="I78" s="482"/>
      <c r="J78" s="207" t="str">
        <f>FHD_NOTE_P_40</f>
        <v>Указываются изменение стоимости основных фондов за счет их вывода из эксплуатации.</v>
      </c>
      <c r="K78" s="468"/>
      <c r="L78" s="1548"/>
      <c r="M78" s="1548"/>
      <c r="R78" s="1548"/>
      <c r="U78" s="469"/>
      <c r="AA78" s="1544"/>
      <c r="AB78" s="1544"/>
      <c r="AC78" s="1544"/>
      <c r="AD78" s="1544"/>
      <c r="AE78" s="1544"/>
    </row>
    <row r="79" spans="1:31" s="1931" customFormat="1" ht="18.75" customHeight="1">
      <c r="A79" s="895"/>
      <c r="C79" s="1548"/>
      <c r="D79" s="1550"/>
      <c r="E79" s="471" t="str">
        <f>FHD_NUM_P_41</f>
        <v>4.2</v>
      </c>
      <c r="F79" s="1434" t="str">
        <f>FHD_P_41</f>
        <v>Изменение стоимости основных фондов за счет их переоценки</v>
      </c>
      <c r="G79" s="1788" t="s">
        <v>536</v>
      </c>
      <c r="H79" s="482"/>
      <c r="I79" s="482"/>
      <c r="J79" s="207" t="str">
        <f>FHD_NOTE_P_41</f>
        <v/>
      </c>
      <c r="K79" s="468"/>
      <c r="L79" s="1548"/>
      <c r="M79" s="1548"/>
      <c r="R79" s="1548"/>
      <c r="U79" s="469"/>
      <c r="AA79" s="1544"/>
      <c r="AB79" s="1544"/>
      <c r="AC79" s="1544"/>
      <c r="AD79" s="1544"/>
      <c r="AE79" s="1544"/>
    </row>
    <row r="80" spans="1:31" s="1931" customFormat="1" ht="18.75" customHeight="1">
      <c r="A80" s="897" t="s">
        <v>563</v>
      </c>
      <c r="C80" s="1548"/>
      <c r="D80" s="1550"/>
      <c r="E80" s="471" t="str">
        <f>FHD_NUM_P_42</f>
        <v>5</v>
      </c>
      <c r="F80" s="1789" t="str">
        <f>FHD_P_42</f>
        <v>Валовая прибыль (убытки) от продажи товаров и услуг по регулируемым видам деятельности в сфере холодного водоснабжения</v>
      </c>
      <c r="G80" s="1787" t="s">
        <v>536</v>
      </c>
      <c r="H80" s="885"/>
      <c r="I80" s="482"/>
      <c r="J80" s="207" t="str">
        <f>FHD_NOTE_P_42</f>
        <v/>
      </c>
      <c r="K80" s="468"/>
      <c r="L80" s="1548"/>
      <c r="M80" s="1548"/>
      <c r="R80" s="1548"/>
      <c r="U80" s="469"/>
      <c r="AA80" s="1544"/>
      <c r="AB80" s="1544"/>
      <c r="AC80" s="1544"/>
      <c r="AD80" s="1544"/>
      <c r="AE80" s="1544"/>
    </row>
    <row r="81" spans="1:31" s="1931" customFormat="1" ht="18.75" customHeight="1">
      <c r="A81" s="895"/>
      <c r="C81" s="1548"/>
      <c r="D81" s="1550"/>
      <c r="E81" s="471" t="str">
        <f>FHD_NUM_P_43</f>
        <v>6</v>
      </c>
      <c r="F81" s="1789" t="str">
        <f>FHD_P_43</f>
        <v>Годовая бухгалтерская (финансовая) отчетность, включая бухгалтерский баланс и приложения к нему</v>
      </c>
      <c r="G81" s="1787" t="s">
        <v>295</v>
      </c>
      <c r="H81" s="962"/>
      <c r="I81" s="735"/>
      <c r="J81" s="20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68"/>
      <c r="L81" s="1548"/>
      <c r="M81" s="1548"/>
      <c r="R81" s="1548"/>
      <c r="U81" s="469"/>
      <c r="AA81" s="1544"/>
      <c r="AB81" s="1544"/>
      <c r="AC81" s="1544"/>
      <c r="AD81" s="1544"/>
      <c r="AE81" s="1544"/>
    </row>
    <row r="82" spans="1:31" s="2014" customFormat="1" ht="18.75" customHeight="1">
      <c r="A82" s="2348" t="s">
        <v>564</v>
      </c>
      <c r="C82" s="654"/>
      <c r="D82" s="652"/>
      <c r="E82" s="471" t="str">
        <f>FHD_NUM_P_44</f>
        <v>7</v>
      </c>
      <c r="F82" s="1789" t="str">
        <f>FHD_P_44</f>
        <v>Объём поднятой воды</v>
      </c>
      <c r="G82" s="1790" t="s">
        <v>565</v>
      </c>
      <c r="H82" s="886"/>
      <c r="I82" s="502"/>
      <c r="J82" s="207" t="str">
        <f>FHD_NOTE_P_44</f>
        <v/>
      </c>
      <c r="K82" s="653"/>
      <c r="L82" s="654"/>
      <c r="M82" s="654"/>
      <c r="R82" s="654"/>
      <c r="U82" s="655"/>
      <c r="AA82" s="656"/>
      <c r="AB82" s="656"/>
      <c r="AC82" s="656"/>
      <c r="AD82" s="656"/>
      <c r="AE82" s="656"/>
    </row>
    <row r="83" spans="1:31" s="2014" customFormat="1" ht="18.75" customHeight="1">
      <c r="A83" s="2348"/>
      <c r="C83" s="654"/>
      <c r="D83" s="652"/>
      <c r="E83" s="471" t="str">
        <f>FHD_NUM_P_45</f>
        <v>8</v>
      </c>
      <c r="F83" s="1789" t="str">
        <f>FHD_P_45</f>
        <v>Объём покупной воды</v>
      </c>
      <c r="G83" s="1790" t="s">
        <v>565</v>
      </c>
      <c r="H83" s="886"/>
      <c r="I83" s="502"/>
      <c r="J83" s="207" t="str">
        <f>FHD_NOTE_P_45</f>
        <v/>
      </c>
      <c r="K83" s="653"/>
      <c r="L83" s="654"/>
      <c r="M83" s="654"/>
      <c r="R83" s="654"/>
      <c r="U83" s="655"/>
      <c r="AA83" s="656"/>
      <c r="AB83" s="656"/>
      <c r="AC83" s="656"/>
      <c r="AD83" s="656"/>
      <c r="AE83" s="656"/>
    </row>
    <row r="84" spans="1:31" s="2014" customFormat="1" ht="18.75" customHeight="1">
      <c r="A84" s="2348"/>
      <c r="C84" s="654"/>
      <c r="D84" s="657"/>
      <c r="E84" s="471" t="str">
        <f>FHD_NUM_P_46</f>
        <v>9</v>
      </c>
      <c r="F84" s="1789" t="str">
        <f>FHD_P_46</f>
        <v>Объём воды, пропущенной через очистные сооружения</v>
      </c>
      <c r="G84" s="1790" t="s">
        <v>565</v>
      </c>
      <c r="H84" s="886"/>
      <c r="I84" s="502"/>
      <c r="J84" s="207" t="str">
        <f>FHD_NOTE_P_46</f>
        <v/>
      </c>
      <c r="K84" s="653"/>
      <c r="L84" s="654"/>
      <c r="M84" s="654"/>
      <c r="R84" s="654"/>
      <c r="U84" s="655"/>
      <c r="AA84" s="656"/>
      <c r="AB84" s="656"/>
      <c r="AC84" s="656"/>
      <c r="AD84" s="656"/>
      <c r="AE84" s="656"/>
    </row>
    <row r="85" spans="1:31" s="2014" customFormat="1" ht="18.75" customHeight="1">
      <c r="A85" s="2348"/>
      <c r="C85" s="654"/>
      <c r="D85" s="652"/>
      <c r="E85" s="471" t="str">
        <f>FHD_NUM_P_47</f>
        <v>10</v>
      </c>
      <c r="F85" s="1789" t="str">
        <f>FHD_P_47</f>
        <v>Объём отпущенной потребителям воды, в том числе:</v>
      </c>
      <c r="G85" s="1790" t="s">
        <v>565</v>
      </c>
      <c r="H85" s="886"/>
      <c r="I85" s="502"/>
      <c r="J85" s="207" t="str">
        <f>FHD_NOTE_P_47</f>
        <v>Указывается общий объем отпущенной потребителям воды.</v>
      </c>
      <c r="K85" s="653"/>
      <c r="L85" s="654"/>
      <c r="M85" s="654"/>
      <c r="R85" s="654"/>
      <c r="U85" s="655"/>
      <c r="AA85" s="656"/>
      <c r="AB85" s="656"/>
      <c r="AC85" s="656"/>
      <c r="AD85" s="656"/>
      <c r="AE85" s="656"/>
    </row>
    <row r="86" spans="1:31" s="2015" customFormat="1" ht="18.75" customHeight="1">
      <c r="A86" s="2348"/>
      <c r="B86" s="823"/>
      <c r="C86" s="654"/>
      <c r="D86" s="652"/>
      <c r="E86" s="471" t="str">
        <f>FHD_NUM_P_48</f>
        <v>10.1</v>
      </c>
      <c r="F86" s="1789" t="str">
        <f>FHD_P_48</f>
        <v>Объём отпущенной потребителям воды, определенный по приборам учета</v>
      </c>
      <c r="G86" s="1790" t="s">
        <v>565</v>
      </c>
      <c r="H86" s="886"/>
      <c r="I86" s="502"/>
      <c r="J86" s="207" t="str">
        <f>FHD_NOTE_P_48</f>
        <v/>
      </c>
      <c r="K86" s="653"/>
      <c r="L86" s="654"/>
      <c r="M86" s="654"/>
      <c r="N86" s="823"/>
      <c r="O86" s="823"/>
      <c r="P86" s="823"/>
      <c r="Q86" s="823"/>
      <c r="R86" s="654"/>
      <c r="S86" s="823"/>
      <c r="T86" s="823"/>
      <c r="U86" s="655"/>
      <c r="V86" s="823"/>
      <c r="W86" s="823"/>
      <c r="X86" s="823"/>
      <c r="Y86" s="823"/>
      <c r="Z86" s="823"/>
      <c r="AA86" s="656"/>
      <c r="AB86" s="656"/>
      <c r="AC86" s="656"/>
      <c r="AD86" s="656"/>
      <c r="AE86" s="656"/>
    </row>
    <row r="87" spans="1:31" s="2015" customFormat="1" ht="18.75" customHeight="1">
      <c r="A87" s="2348"/>
      <c r="B87" s="823"/>
      <c r="C87" s="654"/>
      <c r="D87" s="652"/>
      <c r="E87" s="471" t="str">
        <f>FHD_NUM_P_49</f>
        <v>10.2</v>
      </c>
      <c r="F87" s="1789" t="str">
        <f>FHD_P_49</f>
        <v>Объём отпущенной потребителям воды, определенный расчетным способом</v>
      </c>
      <c r="G87" s="1790" t="s">
        <v>565</v>
      </c>
      <c r="H87" s="887">
        <f>SUM(H88:H89)</f>
        <v>0</v>
      </c>
      <c r="I87" s="667">
        <f>SUM(I88:I89)</f>
        <v>0</v>
      </c>
      <c r="J87" s="207" t="str">
        <f>FHD_NOTE_P_49</f>
        <v/>
      </c>
      <c r="K87" s="653"/>
      <c r="L87" s="654"/>
      <c r="M87" s="654"/>
      <c r="N87" s="823"/>
      <c r="O87" s="823"/>
      <c r="P87" s="823"/>
      <c r="Q87" s="823"/>
      <c r="R87" s="654"/>
      <c r="S87" s="823"/>
      <c r="T87" s="823"/>
      <c r="U87" s="655"/>
      <c r="V87" s="823"/>
      <c r="W87" s="823"/>
      <c r="X87" s="823"/>
      <c r="Y87" s="823"/>
      <c r="Z87" s="823"/>
      <c r="AA87" s="656"/>
      <c r="AB87" s="656"/>
      <c r="AC87" s="656"/>
      <c r="AD87" s="656"/>
      <c r="AE87" s="656"/>
    </row>
    <row r="88" spans="1:31" s="2015" customFormat="1" ht="18.75" customHeight="1">
      <c r="A88" s="2348"/>
      <c r="B88" s="823"/>
      <c r="C88" s="654"/>
      <c r="D88" s="652"/>
      <c r="E88" s="471" t="str">
        <f>FHD_NUM_P_50</f>
        <v>10.2.1</v>
      </c>
      <c r="F88" s="1789" t="str">
        <f>FHD_P_50</f>
        <v>Объём отпущенной потребителям воды, определенный по нормативам потребления коммунальных услуг</v>
      </c>
      <c r="G88" s="1790" t="s">
        <v>565</v>
      </c>
      <c r="H88" s="886"/>
      <c r="I88" s="502"/>
      <c r="J88" s="207" t="str">
        <f>FHD_NOTE_P_50</f>
        <v/>
      </c>
      <c r="K88" s="653"/>
      <c r="L88" s="654"/>
      <c r="M88" s="654"/>
      <c r="N88" s="823"/>
      <c r="O88" s="823"/>
      <c r="P88" s="823"/>
      <c r="Q88" s="823"/>
      <c r="R88" s="654"/>
      <c r="S88" s="823"/>
      <c r="T88" s="823"/>
      <c r="U88" s="655"/>
      <c r="V88" s="823"/>
      <c r="W88" s="823"/>
      <c r="X88" s="823"/>
      <c r="Y88" s="823"/>
      <c r="Z88" s="823"/>
      <c r="AA88" s="656"/>
      <c r="AB88" s="656"/>
      <c r="AC88" s="656"/>
      <c r="AD88" s="656"/>
      <c r="AE88" s="656"/>
    </row>
    <row r="89" spans="1:31" s="2015" customFormat="1" ht="18.75" customHeight="1">
      <c r="A89" s="2348"/>
      <c r="B89" s="823"/>
      <c r="C89" s="654"/>
      <c r="D89" s="652"/>
      <c r="E89" s="471" t="str">
        <f>FHD_NUM_P_51</f>
        <v>10.2.2</v>
      </c>
      <c r="F89" s="1789" t="str">
        <f>FHD_P_51</f>
        <v xml:space="preserve">Объём отпущенной потребителям воды, определенный по нормативам потребления коммунальных ресурсов </v>
      </c>
      <c r="G89" s="1790" t="s">
        <v>565</v>
      </c>
      <c r="H89" s="886"/>
      <c r="I89" s="502"/>
      <c r="J89" s="207" t="str">
        <f>FHD_NOTE_P_51</f>
        <v/>
      </c>
      <c r="K89" s="653"/>
      <c r="L89" s="654"/>
      <c r="M89" s="654"/>
      <c r="N89" s="823"/>
      <c r="O89" s="823"/>
      <c r="P89" s="823"/>
      <c r="Q89" s="823"/>
      <c r="R89" s="654"/>
      <c r="S89" s="823"/>
      <c r="T89" s="823"/>
      <c r="U89" s="655"/>
      <c r="V89" s="823"/>
      <c r="W89" s="823"/>
      <c r="X89" s="823"/>
      <c r="Y89" s="823"/>
      <c r="Z89" s="823"/>
      <c r="AA89" s="656"/>
      <c r="AB89" s="656"/>
      <c r="AC89" s="656"/>
      <c r="AD89" s="656"/>
      <c r="AE89" s="656"/>
    </row>
    <row r="90" spans="1:31" s="2015" customFormat="1" ht="18.75" customHeight="1">
      <c r="A90" s="2348"/>
      <c r="B90" s="823"/>
      <c r="C90" s="654"/>
      <c r="D90" s="652"/>
      <c r="E90" s="471" t="str">
        <f>FHD_NUM_P_52</f>
        <v>11</v>
      </c>
      <c r="F90" s="1789" t="str">
        <f>FHD_P_52</f>
        <v>Потери воды в сетях</v>
      </c>
      <c r="G90" s="1790" t="s">
        <v>542</v>
      </c>
      <c r="H90" s="885"/>
      <c r="I90" s="482"/>
      <c r="J90" s="207" t="str">
        <f>FHD_NOTE_P_52</f>
        <v/>
      </c>
      <c r="K90" s="653"/>
      <c r="L90" s="654"/>
      <c r="M90" s="654"/>
      <c r="N90" s="823"/>
      <c r="O90" s="823"/>
      <c r="P90" s="823"/>
      <c r="Q90" s="823"/>
      <c r="R90" s="654"/>
      <c r="S90" s="823"/>
      <c r="T90" s="823"/>
      <c r="U90" s="655"/>
      <c r="V90" s="823"/>
      <c r="W90" s="823"/>
      <c r="X90" s="823"/>
      <c r="Y90" s="823"/>
      <c r="Z90" s="823"/>
      <c r="AA90" s="656"/>
      <c r="AB90" s="656"/>
      <c r="AC90" s="656"/>
      <c r="AD90" s="656"/>
      <c r="AE90" s="656"/>
    </row>
    <row r="91" spans="1:31" s="2014" customFormat="1" ht="18.75" hidden="1" customHeight="1">
      <c r="A91" s="2348" t="s">
        <v>566</v>
      </c>
      <c r="C91" s="654"/>
      <c r="D91" s="652"/>
      <c r="E91" s="471" t="str">
        <f>FHD_NUM_P_53</f>
        <v/>
      </c>
      <c r="F91" s="1789" t="str">
        <f>FHD_P_53</f>
        <v/>
      </c>
      <c r="G91" s="1790" t="s">
        <v>565</v>
      </c>
      <c r="H91" s="886"/>
      <c r="I91" s="502"/>
      <c r="J91" s="207" t="str">
        <f>FHD_NOTE_P_53</f>
        <v/>
      </c>
      <c r="K91" s="653"/>
      <c r="L91" s="654"/>
      <c r="M91" s="654"/>
      <c r="R91" s="654"/>
      <c r="U91" s="655"/>
      <c r="AA91" s="656"/>
      <c r="AB91" s="656"/>
      <c r="AC91" s="656"/>
      <c r="AD91" s="656"/>
      <c r="AE91" s="656"/>
    </row>
    <row r="92" spans="1:31" s="2014" customFormat="1" ht="18.75" hidden="1" customHeight="1">
      <c r="A92" s="2348"/>
      <c r="C92" s="654"/>
      <c r="D92" s="652"/>
      <c r="E92" s="471" t="str">
        <f>FHD_NUM_P_54</f>
        <v/>
      </c>
      <c r="F92" s="1789" t="str">
        <f>FHD_P_54</f>
        <v/>
      </c>
      <c r="G92" s="1790" t="s">
        <v>565</v>
      </c>
      <c r="H92" s="886"/>
      <c r="I92" s="502"/>
      <c r="J92" s="207" t="str">
        <f>FHD_NOTE_P_54</f>
        <v/>
      </c>
      <c r="K92" s="653"/>
      <c r="L92" s="654"/>
      <c r="M92" s="654"/>
      <c r="R92" s="654"/>
      <c r="U92" s="655"/>
      <c r="AA92" s="656"/>
      <c r="AB92" s="656"/>
      <c r="AC92" s="656"/>
      <c r="AD92" s="656"/>
      <c r="AE92" s="656"/>
    </row>
    <row r="93" spans="1:31" s="2014" customFormat="1" ht="18.75" hidden="1" customHeight="1">
      <c r="A93" s="2348"/>
      <c r="C93" s="654"/>
      <c r="D93" s="657"/>
      <c r="E93" s="471" t="str">
        <f>FHD_NUM_P_55</f>
        <v/>
      </c>
      <c r="F93" s="1789" t="str">
        <f>FHD_P_55</f>
        <v/>
      </c>
      <c r="G93" s="1793"/>
      <c r="H93" s="886"/>
      <c r="I93" s="502"/>
      <c r="J93" s="207" t="str">
        <f>FHD_NOTE_P_55</f>
        <v/>
      </c>
      <c r="K93" s="653"/>
      <c r="L93" s="654"/>
      <c r="M93" s="654"/>
      <c r="R93" s="654"/>
      <c r="U93" s="655"/>
      <c r="AA93" s="656"/>
      <c r="AB93" s="656"/>
      <c r="AC93" s="656"/>
      <c r="AD93" s="656"/>
      <c r="AE93" s="656"/>
    </row>
    <row r="94" spans="1:31" s="2014" customFormat="1" ht="18.75" hidden="1" customHeight="1">
      <c r="A94" s="2348"/>
      <c r="C94" s="654"/>
      <c r="D94" s="652"/>
      <c r="E94" s="471" t="str">
        <f>FHD_NUM_P_56</f>
        <v/>
      </c>
      <c r="F94" s="1789" t="str">
        <f>FHD_P_56</f>
        <v/>
      </c>
      <c r="G94" s="1790" t="s">
        <v>567</v>
      </c>
      <c r="H94" s="886"/>
      <c r="I94" s="502"/>
      <c r="J94" s="207" t="str">
        <f>FHD_NOTE_P_56</f>
        <v/>
      </c>
      <c r="K94" s="653"/>
      <c r="L94" s="654"/>
      <c r="M94" s="654"/>
      <c r="R94" s="654"/>
      <c r="U94" s="655"/>
      <c r="AA94" s="656"/>
      <c r="AB94" s="656"/>
      <c r="AC94" s="656"/>
      <c r="AD94" s="656"/>
      <c r="AE94" s="656"/>
    </row>
    <row r="95" spans="1:31" s="2015" customFormat="1" ht="18.75" hidden="1" customHeight="1">
      <c r="A95" s="2348"/>
      <c r="B95" s="823"/>
      <c r="C95" s="654"/>
      <c r="D95" s="652"/>
      <c r="E95" s="471" t="str">
        <f>FHD_NUM_P_57</f>
        <v/>
      </c>
      <c r="F95" s="1789" t="str">
        <f>FHD_P_57</f>
        <v/>
      </c>
      <c r="G95" s="1790" t="s">
        <v>542</v>
      </c>
      <c r="H95" s="885"/>
      <c r="I95" s="482"/>
      <c r="J95" s="207" t="str">
        <f>FHD_NOTE_P_57</f>
        <v/>
      </c>
      <c r="K95" s="653"/>
      <c r="L95" s="654"/>
      <c r="M95" s="654"/>
      <c r="N95" s="823"/>
      <c r="O95" s="823"/>
      <c r="P95" s="823"/>
      <c r="Q95" s="823"/>
      <c r="R95" s="654"/>
      <c r="S95" s="823"/>
      <c r="T95" s="823"/>
      <c r="U95" s="655"/>
      <c r="V95" s="823"/>
      <c r="W95" s="823"/>
      <c r="X95" s="823"/>
      <c r="Y95" s="823"/>
      <c r="Z95" s="823"/>
      <c r="AA95" s="656"/>
      <c r="AB95" s="656"/>
      <c r="AC95" s="656"/>
      <c r="AD95" s="656"/>
      <c r="AE95" s="656"/>
    </row>
    <row r="96" spans="1:31" ht="18.75" hidden="1" customHeight="1">
      <c r="A96" s="2348" t="s">
        <v>568</v>
      </c>
      <c r="D96" s="1550"/>
      <c r="E96" s="471" t="str">
        <f>FHD_NUM_P_58</f>
        <v/>
      </c>
      <c r="F96" s="1789" t="str">
        <f>FHD_P_58</f>
        <v/>
      </c>
      <c r="G96" s="1790" t="s">
        <v>565</v>
      </c>
      <c r="H96" s="886"/>
      <c r="I96" s="502"/>
      <c r="J96" s="207" t="str">
        <f>FHD_NOTE_P_58</f>
        <v/>
      </c>
      <c r="K96" s="468"/>
    </row>
    <row r="97" spans="1:31" ht="18.75" hidden="1" customHeight="1">
      <c r="A97" s="2348"/>
      <c r="D97" s="1550"/>
      <c r="E97" s="471" t="str">
        <f>FHD_NUM_P_59</f>
        <v/>
      </c>
      <c r="F97" s="1789" t="str">
        <f>FHD_P_59</f>
        <v/>
      </c>
      <c r="G97" s="1790" t="s">
        <v>565</v>
      </c>
      <c r="H97" s="886"/>
      <c r="I97" s="502"/>
      <c r="J97" s="207" t="str">
        <f>FHD_NOTE_P_59</f>
        <v/>
      </c>
      <c r="K97" s="468"/>
    </row>
    <row r="98" spans="1:31" ht="18.75" hidden="1" customHeight="1">
      <c r="A98" s="2348"/>
      <c r="D98" s="1550"/>
      <c r="E98" s="471" t="str">
        <f>FHD_NUM_P_60</f>
        <v/>
      </c>
      <c r="F98" s="1789" t="str">
        <f>FHD_P_60</f>
        <v/>
      </c>
      <c r="G98" s="1790" t="s">
        <v>565</v>
      </c>
      <c r="H98" s="886"/>
      <c r="I98" s="502"/>
      <c r="J98" s="207" t="str">
        <f>FHD_NOTE_P_60</f>
        <v/>
      </c>
      <c r="K98" s="468"/>
    </row>
    <row r="99" spans="1:31" s="1931" customFormat="1" ht="18.75" hidden="1" customHeight="1">
      <c r="A99" s="2348" t="s">
        <v>569</v>
      </c>
      <c r="C99" s="1548"/>
      <c r="D99" s="1550"/>
      <c r="E99" s="471" t="str">
        <f>FHD_NUM_P_61</f>
        <v/>
      </c>
      <c r="F99" s="1789" t="str">
        <f>FHD_P_61</f>
        <v/>
      </c>
      <c r="G99" s="1787" t="s">
        <v>540</v>
      </c>
      <c r="H99" s="888"/>
      <c r="I99" s="660"/>
      <c r="J99" s="207" t="str">
        <f>FHD_NOTE_P_61</f>
        <v/>
      </c>
      <c r="K99" s="468"/>
      <c r="L99" s="1548"/>
      <c r="M99" s="1548"/>
      <c r="R99" s="1548"/>
      <c r="U99" s="469"/>
      <c r="AA99" s="1544"/>
      <c r="AB99" s="1544"/>
      <c r="AC99" s="1544"/>
      <c r="AD99" s="1544"/>
      <c r="AE99" s="1544"/>
    </row>
    <row r="100" spans="1:31" s="2010" customFormat="1" ht="0.75" hidden="1" customHeight="1">
      <c r="A100" s="2348"/>
      <c r="D100" s="473"/>
      <c r="E100" s="920" t="str">
        <f>E99&amp;".0"</f>
        <v>.0</v>
      </c>
      <c r="F100" s="902"/>
      <c r="G100" s="903"/>
      <c r="H100" s="900"/>
      <c r="I100" s="900"/>
      <c r="J100" s="904"/>
    </row>
    <row r="101" spans="1:31" ht="15" hidden="1" customHeight="1">
      <c r="A101" s="2348"/>
      <c r="D101" s="1545"/>
      <c r="E101" s="880"/>
      <c r="F101" s="881" t="s">
        <v>570</v>
      </c>
      <c r="G101" s="497"/>
      <c r="H101" s="498"/>
      <c r="I101" s="498"/>
      <c r="J101" s="911" t="s">
        <v>571</v>
      </c>
      <c r="K101" s="468"/>
    </row>
    <row r="102" spans="1:31" s="1931" customFormat="1" ht="18.75" hidden="1" customHeight="1">
      <c r="A102" s="2348"/>
      <c r="C102" s="1548"/>
      <c r="D102" s="1550"/>
      <c r="E102" s="471" t="str">
        <f>FHD_NUM_P_62</f>
        <v/>
      </c>
      <c r="F102" s="1789" t="str">
        <f>FHD_P_62</f>
        <v/>
      </c>
      <c r="G102" s="1786" t="s">
        <v>540</v>
      </c>
      <c r="H102" s="482"/>
      <c r="I102" s="482"/>
      <c r="J102" s="207" t="str">
        <f>FHD_NOTE_P_62</f>
        <v/>
      </c>
      <c r="K102" s="468"/>
      <c r="L102" s="1548"/>
      <c r="M102" s="1548"/>
      <c r="R102" s="1548"/>
      <c r="U102" s="469"/>
      <c r="AA102" s="1544"/>
      <c r="AB102" s="1544"/>
      <c r="AC102" s="1544"/>
      <c r="AD102" s="1544"/>
      <c r="AE102" s="1544"/>
    </row>
    <row r="103" spans="1:31" s="1931" customFormat="1" ht="18.75" hidden="1" customHeight="1">
      <c r="A103" s="2348"/>
      <c r="C103" s="1548"/>
      <c r="D103" s="1550"/>
      <c r="E103" s="471" t="str">
        <f>FHD_NUM_P_63</f>
        <v/>
      </c>
      <c r="F103" s="1789" t="str">
        <f>FHD_P_63</f>
        <v/>
      </c>
      <c r="G103" s="1786" t="s">
        <v>567</v>
      </c>
      <c r="H103" s="502"/>
      <c r="I103" s="502"/>
      <c r="J103" s="207" t="str">
        <f>FHD_NOTE_P_63</f>
        <v/>
      </c>
      <c r="K103" s="468"/>
      <c r="L103" s="1548"/>
      <c r="M103" s="1548"/>
      <c r="R103" s="1548"/>
      <c r="U103" s="469"/>
      <c r="AA103" s="1544"/>
      <c r="AB103" s="1544"/>
      <c r="AC103" s="1544"/>
      <c r="AD103" s="1544"/>
      <c r="AE103" s="1544"/>
    </row>
    <row r="104" spans="1:31" s="1931" customFormat="1" ht="18.75" hidden="1" customHeight="1">
      <c r="A104" s="2348"/>
      <c r="C104" s="1548" t="s">
        <v>572</v>
      </c>
      <c r="D104" s="1550"/>
      <c r="E104" s="471" t="str">
        <f>FHD_NUM_P_64</f>
        <v/>
      </c>
      <c r="F104" s="1789" t="str">
        <f>FHD_P_64</f>
        <v/>
      </c>
      <c r="G104" s="1786" t="s">
        <v>567</v>
      </c>
      <c r="H104" s="470"/>
      <c r="I104" s="470"/>
      <c r="J104" s="207" t="str">
        <f>FHD_NOTE_P_64</f>
        <v/>
      </c>
      <c r="K104" s="468"/>
      <c r="L104" s="1548"/>
      <c r="M104" s="1548"/>
      <c r="R104" s="1548"/>
      <c r="U104" s="469"/>
      <c r="AA104" s="1544"/>
      <c r="AB104" s="1544"/>
      <c r="AC104" s="1544"/>
      <c r="AD104" s="1544"/>
      <c r="AE104" s="1544"/>
    </row>
    <row r="105" spans="1:31" s="1931" customFormat="1" ht="18.75" hidden="1" customHeight="1">
      <c r="A105" s="2348"/>
      <c r="C105" s="1548"/>
      <c r="D105" s="1550"/>
      <c r="E105" s="471" t="str">
        <f>FHD_NUM_P_65</f>
        <v/>
      </c>
      <c r="F105" s="1789" t="str">
        <f>FHD_P_65</f>
        <v/>
      </c>
      <c r="G105" s="1786" t="s">
        <v>567</v>
      </c>
      <c r="H105" s="502"/>
      <c r="I105" s="502"/>
      <c r="J105" s="207" t="str">
        <f>FHD_NOTE_P_65</f>
        <v/>
      </c>
      <c r="K105" s="468"/>
      <c r="L105" s="1548"/>
      <c r="M105" s="1548"/>
      <c r="R105" s="1548"/>
      <c r="U105" s="469"/>
      <c r="AA105" s="1544"/>
      <c r="AB105" s="1544"/>
      <c r="AC105" s="1544"/>
      <c r="AD105" s="1544"/>
      <c r="AE105" s="1544"/>
    </row>
    <row r="106" spans="1:31" s="1931" customFormat="1" ht="18.75" hidden="1" customHeight="1">
      <c r="A106" s="2348"/>
      <c r="C106" s="1548"/>
      <c r="D106" s="1550"/>
      <c r="E106" s="471" t="str">
        <f>FHD_NUM_P_66</f>
        <v/>
      </c>
      <c r="F106" s="1434" t="str">
        <f>FHD_P_66</f>
        <v/>
      </c>
      <c r="G106" s="1786" t="s">
        <v>567</v>
      </c>
      <c r="H106" s="502"/>
      <c r="I106" s="502"/>
      <c r="J106" s="207" t="str">
        <f>FHD_NOTE_P_66</f>
        <v/>
      </c>
      <c r="K106" s="468"/>
      <c r="L106" s="1548"/>
      <c r="M106" s="1548"/>
      <c r="R106" s="1548"/>
      <c r="U106" s="469"/>
      <c r="AA106" s="1544"/>
      <c r="AB106" s="1544"/>
      <c r="AC106" s="1544"/>
      <c r="AD106" s="1544"/>
      <c r="AE106" s="1544"/>
    </row>
    <row r="107" spans="1:31" s="1931" customFormat="1" ht="18.75" hidden="1" customHeight="1">
      <c r="A107" s="2348"/>
      <c r="C107" s="1548"/>
      <c r="D107" s="1550"/>
      <c r="E107" s="471" t="str">
        <f>FHD_NUM_P_67</f>
        <v/>
      </c>
      <c r="F107" s="1561" t="str">
        <f>FHD_P_67</f>
        <v/>
      </c>
      <c r="G107" s="1786" t="s">
        <v>567</v>
      </c>
      <c r="H107" s="502"/>
      <c r="I107" s="502"/>
      <c r="J107" s="207" t="str">
        <f>FHD_NOTE_P_67</f>
        <v/>
      </c>
      <c r="K107" s="468"/>
      <c r="L107" s="1548"/>
      <c r="M107" s="1548"/>
      <c r="R107" s="1548"/>
      <c r="U107" s="469"/>
      <c r="AA107" s="1544"/>
      <c r="AB107" s="1544"/>
      <c r="AC107" s="1544"/>
      <c r="AD107" s="1544"/>
      <c r="AE107" s="1544"/>
    </row>
    <row r="108" spans="1:31" s="1931" customFormat="1" ht="18.75" hidden="1" customHeight="1">
      <c r="A108" s="2348"/>
      <c r="C108" s="1548"/>
      <c r="D108" s="1550"/>
      <c r="E108" s="471" t="str">
        <f>FHD_NUM_P_68</f>
        <v/>
      </c>
      <c r="F108" s="1434" t="str">
        <f>FHD_P_68</f>
        <v/>
      </c>
      <c r="G108" s="1786" t="s">
        <v>567</v>
      </c>
      <c r="H108" s="502"/>
      <c r="I108" s="502"/>
      <c r="J108" s="207" t="str">
        <f>FHD_NOTE_P_68</f>
        <v/>
      </c>
      <c r="K108" s="468"/>
      <c r="L108" s="1548"/>
      <c r="M108" s="1548"/>
      <c r="R108" s="1548"/>
      <c r="U108" s="469"/>
      <c r="AA108" s="1544"/>
      <c r="AB108" s="1544"/>
      <c r="AC108" s="1544"/>
      <c r="AD108" s="1544"/>
      <c r="AE108" s="1544"/>
    </row>
    <row r="109" spans="1:31" s="1931" customFormat="1" ht="18.75" hidden="1" customHeight="1">
      <c r="A109" s="2348"/>
      <c r="C109" s="1548"/>
      <c r="D109" s="1550"/>
      <c r="E109" s="471" t="str">
        <f>FHD_NUM_P_69</f>
        <v/>
      </c>
      <c r="F109" s="1434" t="str">
        <f>FHD_P_69</f>
        <v/>
      </c>
      <c r="G109" s="1786" t="s">
        <v>567</v>
      </c>
      <c r="H109" s="502"/>
      <c r="I109" s="502"/>
      <c r="J109" s="207" t="str">
        <f>FHD_NOTE_P_69</f>
        <v/>
      </c>
      <c r="K109" s="468"/>
      <c r="L109" s="1548"/>
      <c r="M109" s="1548"/>
      <c r="R109" s="1548"/>
      <c r="U109" s="469"/>
      <c r="AA109" s="1544"/>
      <c r="AB109" s="1544"/>
      <c r="AC109" s="1544"/>
      <c r="AD109" s="1544"/>
      <c r="AE109" s="1544"/>
    </row>
    <row r="110" spans="1:31" s="1931" customFormat="1" ht="22.5" hidden="1" customHeight="1">
      <c r="A110" s="2348"/>
      <c r="C110" s="1548"/>
      <c r="D110" s="1550"/>
      <c r="E110" s="471" t="str">
        <f>FHD_NUM_P_70</f>
        <v/>
      </c>
      <c r="F110" s="1789" t="str">
        <f>FHD_P_70</f>
        <v/>
      </c>
      <c r="G110" s="1786" t="s">
        <v>573</v>
      </c>
      <c r="H110" s="482"/>
      <c r="I110" s="482"/>
      <c r="J110" s="207" t="str">
        <f>FHD_NOTE_P_70</f>
        <v/>
      </c>
      <c r="K110" s="468"/>
      <c r="L110" s="1548"/>
      <c r="M110" s="1548"/>
      <c r="R110" s="1548"/>
      <c r="U110" s="469"/>
      <c r="AA110" s="1544"/>
      <c r="AB110" s="1544"/>
      <c r="AC110" s="1544"/>
      <c r="AD110" s="1544"/>
      <c r="AE110" s="1544"/>
    </row>
    <row r="111" spans="1:31" s="1931" customFormat="1" ht="22.5" hidden="1" customHeight="1">
      <c r="A111" s="2348"/>
      <c r="C111" s="1548"/>
      <c r="D111" s="1550"/>
      <c r="E111" s="471" t="str">
        <f>FHD_NUM_P_71</f>
        <v/>
      </c>
      <c r="F111" s="1789" t="str">
        <f>FHD_P_71</f>
        <v/>
      </c>
      <c r="G111" s="1786" t="s">
        <v>573</v>
      </c>
      <c r="H111" s="482"/>
      <c r="I111" s="482"/>
      <c r="J111" s="207" t="str">
        <f>FHD_NOTE_P_71</f>
        <v/>
      </c>
      <c r="K111" s="468"/>
      <c r="L111" s="1548"/>
      <c r="M111" s="1548"/>
      <c r="R111" s="1548"/>
      <c r="U111" s="469"/>
      <c r="AA111" s="1544"/>
      <c r="AB111" s="1544"/>
      <c r="AC111" s="1544"/>
      <c r="AD111" s="1544"/>
      <c r="AE111" s="1544"/>
    </row>
    <row r="112" spans="1:31" ht="18.75" customHeight="1">
      <c r="D112" s="1550"/>
      <c r="E112" s="471" t="str">
        <f>FHD_NUM_P_72</f>
        <v>12</v>
      </c>
      <c r="F112" s="1789" t="str">
        <f>FHD_P_72</f>
        <v>Среднесписочная численность основного производственного персонала</v>
      </c>
      <c r="G112" s="1785" t="s">
        <v>574</v>
      </c>
      <c r="H112" s="502"/>
      <c r="I112" s="502"/>
      <c r="J112" s="207" t="str">
        <f>FHD_NOTE_P_72</f>
        <v/>
      </c>
      <c r="K112" s="468"/>
    </row>
    <row r="113" spans="1:31" ht="18.75" hidden="1" customHeight="1">
      <c r="A113" s="897" t="s">
        <v>575</v>
      </c>
      <c r="D113" s="1550"/>
      <c r="E113" s="471" t="str">
        <f>FHD_NUM_P_73</f>
        <v/>
      </c>
      <c r="F113" s="1789" t="str">
        <f>FHD_P_73</f>
        <v/>
      </c>
      <c r="G113" s="879" t="s">
        <v>574</v>
      </c>
      <c r="H113" s="877"/>
      <c r="I113" s="877"/>
      <c r="J113" s="207" t="str">
        <f>FHD_NOTE_P_73</f>
        <v/>
      </c>
      <c r="K113" s="468"/>
    </row>
    <row r="114" spans="1:31" ht="33.75" customHeight="1">
      <c r="A114" s="897" t="s">
        <v>576</v>
      </c>
      <c r="D114" s="1550"/>
      <c r="E114" s="471" t="str">
        <f>FHD_NUM_P_74</f>
        <v>13</v>
      </c>
      <c r="F114" s="1789" t="str">
        <f>FHD_P_74</f>
        <v>Удельный расход электрической энергии на подачу воды в сеть</v>
      </c>
      <c r="G114" s="1785" t="s">
        <v>577</v>
      </c>
      <c r="H114" s="502"/>
      <c r="I114" s="502"/>
      <c r="J114" s="207" t="str">
        <f>FHD_NOTE_P_74</f>
        <v/>
      </c>
      <c r="K114" s="468"/>
    </row>
    <row r="115" spans="1:31" s="2015" customFormat="1" ht="18.75" customHeight="1">
      <c r="A115" s="2348" t="s">
        <v>578</v>
      </c>
      <c r="B115" s="823"/>
      <c r="C115" s="654"/>
      <c r="D115" s="652"/>
      <c r="E115" s="471" t="str">
        <f>FHD_NUM_P_75</f>
        <v>14</v>
      </c>
      <c r="F115" s="1789" t="str">
        <f>FHD_P_75</f>
        <v>Расход воды на собственные нужды, в том числе:</v>
      </c>
      <c r="G115" s="1785" t="s">
        <v>542</v>
      </c>
      <c r="H115" s="482"/>
      <c r="I115" s="482"/>
      <c r="J115" s="207" t="str">
        <f>FHD_NOTE_P_75</f>
        <v>Указывается доля общего расхода воды на собственные нужны от объема отпуска воды потребителям.</v>
      </c>
      <c r="K115" s="653"/>
      <c r="L115" s="654"/>
      <c r="M115" s="654"/>
      <c r="N115" s="823"/>
      <c r="O115" s="823"/>
      <c r="P115" s="823"/>
      <c r="Q115" s="823"/>
      <c r="R115" s="654"/>
      <c r="S115" s="823"/>
      <c r="T115" s="823"/>
      <c r="U115" s="655"/>
      <c r="V115" s="823"/>
      <c r="W115" s="823"/>
      <c r="X115" s="823"/>
      <c r="Y115" s="823"/>
      <c r="Z115" s="823"/>
      <c r="AA115" s="656"/>
      <c r="AB115" s="656"/>
      <c r="AC115" s="656"/>
      <c r="AD115" s="656"/>
      <c r="AE115" s="656"/>
    </row>
    <row r="116" spans="1:31" s="2015" customFormat="1" ht="18.75" customHeight="1">
      <c r="A116" s="2348"/>
      <c r="B116" s="823"/>
      <c r="C116" s="654"/>
      <c r="D116" s="652"/>
      <c r="E116" s="471" t="str">
        <f>FHD_NUM_P_76</f>
        <v>14.1</v>
      </c>
      <c r="F116" s="1789" t="str">
        <f>FHD_P_76</f>
        <v>Расход воды на хозяйственно-бытовые нужды</v>
      </c>
      <c r="G116" s="1785" t="s">
        <v>542</v>
      </c>
      <c r="H116" s="482"/>
      <c r="I116" s="482"/>
      <c r="J116" s="207" t="str">
        <f>FHD_NOTE_P_76</f>
        <v>Указывается доля расхода воды на хозяйственно-бытовые нужны от объема отпуска воды потребителям.</v>
      </c>
      <c r="K116" s="653"/>
      <c r="L116" s="654"/>
      <c r="M116" s="654"/>
      <c r="N116" s="823"/>
      <c r="O116" s="823"/>
      <c r="P116" s="823"/>
      <c r="Q116" s="823"/>
      <c r="R116" s="654"/>
      <c r="S116" s="823"/>
      <c r="T116" s="823"/>
      <c r="U116" s="655"/>
      <c r="V116" s="823"/>
      <c r="W116" s="823"/>
      <c r="X116" s="823"/>
      <c r="Y116" s="823"/>
      <c r="Z116" s="823"/>
      <c r="AA116" s="656"/>
      <c r="AB116" s="656"/>
      <c r="AC116" s="656"/>
      <c r="AD116" s="656"/>
      <c r="AE116" s="656"/>
    </row>
    <row r="117" spans="1:31" s="2015" customFormat="1" ht="18.75" customHeight="1">
      <c r="A117" s="2348"/>
      <c r="B117" s="823"/>
      <c r="C117" s="654"/>
      <c r="D117" s="652"/>
      <c r="E117" s="471" t="str">
        <f>FHD_NUM_P_77</f>
        <v>15</v>
      </c>
      <c r="F117" s="1789" t="str">
        <f>FHD_P_77</f>
        <v>Показатель использования производственных объектов (по объему перекачки), в том числе:</v>
      </c>
      <c r="G117" s="1785" t="s">
        <v>542</v>
      </c>
      <c r="H117" s="482"/>
      <c r="I117" s="482"/>
      <c r="J117" s="20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53"/>
      <c r="L117" s="654"/>
      <c r="M117" s="654"/>
      <c r="N117" s="823"/>
      <c r="O117" s="823"/>
      <c r="P117" s="823"/>
      <c r="Q117" s="823"/>
      <c r="R117" s="654"/>
      <c r="S117" s="823"/>
      <c r="T117" s="823"/>
      <c r="U117" s="655"/>
      <c r="V117" s="823"/>
      <c r="W117" s="823"/>
      <c r="X117" s="823"/>
      <c r="Y117" s="823"/>
      <c r="Z117" s="823"/>
      <c r="AA117" s="656"/>
      <c r="AB117" s="656"/>
      <c r="AC117" s="656"/>
      <c r="AD117" s="656"/>
      <c r="AE117" s="656"/>
    </row>
    <row r="118" spans="1:31" s="2010" customFormat="1" ht="0.75" customHeight="1">
      <c r="A118" s="2348"/>
      <c r="D118" s="473"/>
      <c r="E118" s="920" t="str">
        <f>E117&amp;".0"</f>
        <v>15.0</v>
      </c>
      <c r="F118" s="905"/>
      <c r="G118" s="1562"/>
      <c r="H118" s="900"/>
      <c r="I118" s="900"/>
      <c r="J118" s="904"/>
    </row>
    <row r="119" spans="1:31" s="2015" customFormat="1" ht="15" customHeight="1">
      <c r="A119" s="2348"/>
      <c r="B119" s="823"/>
      <c r="C119" s="654"/>
      <c r="D119" s="664"/>
      <c r="E119" s="882"/>
      <c r="F119" s="883" t="s">
        <v>579</v>
      </c>
      <c r="G119" s="665"/>
      <c r="H119" s="666"/>
      <c r="I119" s="666"/>
      <c r="J119" s="910" t="s">
        <v>580</v>
      </c>
      <c r="K119" s="653"/>
      <c r="L119" s="654"/>
      <c r="M119" s="654"/>
      <c r="N119" s="823"/>
      <c r="O119" s="823"/>
      <c r="P119" s="823"/>
      <c r="Q119" s="823"/>
      <c r="R119" s="654"/>
      <c r="S119" s="823"/>
      <c r="T119" s="823"/>
      <c r="U119" s="655"/>
      <c r="V119" s="823"/>
      <c r="W119" s="823"/>
      <c r="X119" s="823"/>
      <c r="Y119" s="823"/>
      <c r="Z119" s="823"/>
      <c r="AA119" s="656"/>
      <c r="AB119" s="656"/>
      <c r="AC119" s="656"/>
      <c r="AD119" s="656"/>
      <c r="AE119" s="656"/>
    </row>
    <row r="120" spans="1:31" ht="22.5" hidden="1" customHeight="1">
      <c r="A120" s="2348" t="s">
        <v>581</v>
      </c>
      <c r="D120" s="1550"/>
      <c r="E120" s="471" t="str">
        <f>FHD_NUM_P_78</f>
        <v/>
      </c>
      <c r="F120" s="1789" t="str">
        <f>FHD_P_78</f>
        <v/>
      </c>
      <c r="G120" s="1786" t="s">
        <v>544</v>
      </c>
      <c r="H120" s="502"/>
      <c r="I120" s="502"/>
      <c r="J120" s="207" t="str">
        <f>FHD_NOTE_P_78</f>
        <v/>
      </c>
      <c r="K120" s="468"/>
    </row>
    <row r="121" spans="1:31" s="2010" customFormat="1" ht="0.75" hidden="1" customHeight="1">
      <c r="A121" s="2348"/>
      <c r="D121" s="473"/>
      <c r="E121" s="920" t="str">
        <f>E120&amp;".0"</f>
        <v>.0</v>
      </c>
      <c r="F121" s="905"/>
      <c r="G121" s="1562"/>
      <c r="H121" s="900"/>
      <c r="I121" s="900"/>
      <c r="J121" s="904"/>
    </row>
    <row r="122" spans="1:31" ht="15" hidden="1" customHeight="1">
      <c r="A122" s="2348"/>
      <c r="D122" s="1545"/>
      <c r="E122" s="495"/>
      <c r="F122" s="1068" t="s">
        <v>570</v>
      </c>
      <c r="G122" s="497"/>
      <c r="H122" s="498"/>
      <c r="I122" s="498"/>
      <c r="J122" s="911" t="s">
        <v>582</v>
      </c>
      <c r="K122" s="468"/>
    </row>
    <row r="123" spans="1:31" ht="22.5" hidden="1" customHeight="1">
      <c r="A123" s="2348"/>
      <c r="D123" s="1550"/>
      <c r="E123" s="471" t="str">
        <f>FHD_NUM_P_79</f>
        <v/>
      </c>
      <c r="F123" s="1789" t="str">
        <f>FHD_P_79</f>
        <v/>
      </c>
      <c r="G123" s="1787" t="s">
        <v>546</v>
      </c>
      <c r="H123" s="502"/>
      <c r="I123" s="502"/>
      <c r="J123" s="207" t="str">
        <f>FHD_NOTE_P_79</f>
        <v/>
      </c>
      <c r="K123" s="468"/>
    </row>
    <row r="124" spans="1:31" s="2010" customFormat="1" ht="0.75" hidden="1" customHeight="1">
      <c r="A124" s="2348"/>
      <c r="D124" s="473"/>
      <c r="E124" s="920" t="str">
        <f>E123&amp;".0"</f>
        <v>.0</v>
      </c>
      <c r="F124" s="906"/>
      <c r="G124" s="1562"/>
      <c r="H124" s="900"/>
      <c r="I124" s="900"/>
      <c r="J124" s="904"/>
    </row>
    <row r="125" spans="1:31" ht="15" hidden="1" customHeight="1">
      <c r="A125" s="2348"/>
      <c r="D125" s="1545"/>
      <c r="E125" s="495"/>
      <c r="F125" s="1068" t="s">
        <v>570</v>
      </c>
      <c r="G125" s="497"/>
      <c r="H125" s="498"/>
      <c r="I125" s="498"/>
      <c r="J125" s="911" t="s">
        <v>583</v>
      </c>
      <c r="K125" s="468"/>
    </row>
    <row r="126" spans="1:31" ht="22.5" hidden="1" customHeight="1">
      <c r="A126" s="2348"/>
      <c r="D126" s="1550"/>
      <c r="E126" s="471" t="str">
        <f>FHD_NUM_P_80</f>
        <v/>
      </c>
      <c r="F126" s="1789" t="str">
        <f>FHD_P_80</f>
        <v/>
      </c>
      <c r="G126" s="1787" t="s">
        <v>584</v>
      </c>
      <c r="H126" s="482"/>
      <c r="I126" s="482"/>
      <c r="J126" s="207" t="str">
        <f>FHD_NOTE_P_80</f>
        <v/>
      </c>
      <c r="K126" s="468"/>
    </row>
    <row r="127" spans="1:31" ht="18.75" hidden="1" customHeight="1">
      <c r="A127" s="2348"/>
      <c r="D127" s="1550"/>
      <c r="E127" s="471" t="str">
        <f>FHD_NUM_P_81</f>
        <v/>
      </c>
      <c r="F127" s="1789" t="str">
        <f>FHD_P_81</f>
        <v/>
      </c>
      <c r="G127" s="1787" t="s">
        <v>585</v>
      </c>
      <c r="H127" s="482"/>
      <c r="I127" s="482"/>
      <c r="J127" s="207" t="str">
        <f>FHD_NOTE_P_81</f>
        <v/>
      </c>
      <c r="K127" s="468"/>
    </row>
    <row r="128" spans="1:31" ht="18.75" hidden="1" customHeight="1">
      <c r="A128" s="2348"/>
      <c r="C128" s="1548" t="s">
        <v>572</v>
      </c>
      <c r="D128" s="1550"/>
      <c r="E128" s="471" t="str">
        <f>FHD_NUM_P_82</f>
        <v/>
      </c>
      <c r="F128" s="1789" t="str">
        <f>FHD_P_82</f>
        <v/>
      </c>
      <c r="G128" s="1787" t="s">
        <v>295</v>
      </c>
      <c r="H128" s="335"/>
      <c r="I128" s="335"/>
      <c r="J128" s="207" t="str">
        <f>FHD_NOTE_P_82</f>
        <v/>
      </c>
      <c r="K128" s="468"/>
    </row>
    <row r="129" spans="1:31" ht="18.75" hidden="1" customHeight="1">
      <c r="A129" s="2348"/>
      <c r="C129" s="1548" t="s">
        <v>572</v>
      </c>
      <c r="D129" s="1550"/>
      <c r="E129" s="471" t="str">
        <f>FHD_NUM_P_83</f>
        <v/>
      </c>
      <c r="F129" s="1434" t="str">
        <f>FHD_P_83</f>
        <v/>
      </c>
      <c r="G129" s="1787" t="s">
        <v>295</v>
      </c>
      <c r="H129" s="335"/>
      <c r="I129" s="335"/>
      <c r="J129" s="207" t="str">
        <f>FHD_NOTE_P_83</f>
        <v/>
      </c>
      <c r="K129" s="468"/>
    </row>
    <row r="130" spans="1:31" ht="18.75" hidden="1" customHeight="1">
      <c r="A130" s="2348"/>
      <c r="C130" s="1548" t="s">
        <v>572</v>
      </c>
      <c r="D130" s="1550"/>
      <c r="E130" s="471" t="str">
        <f>FHD_NUM_P_84</f>
        <v/>
      </c>
      <c r="F130" s="1434" t="str">
        <f>FHD_P_84</f>
        <v/>
      </c>
      <c r="G130" s="1787" t="s">
        <v>295</v>
      </c>
      <c r="H130" s="335"/>
      <c r="I130" s="335"/>
      <c r="J130" s="207" t="str">
        <f>FHD_NOTE_P_84</f>
        <v/>
      </c>
      <c r="K130" s="468"/>
    </row>
    <row r="131" spans="1:31" ht="11.25" customHeight="1">
      <c r="D131" s="1550"/>
    </row>
    <row r="132" spans="1:31" ht="12.75" customHeight="1">
      <c r="D132" s="1550"/>
      <c r="E132" s="262"/>
      <c r="F132" s="297"/>
      <c r="G132" s="297"/>
      <c r="H132" s="297"/>
      <c r="I132" s="1558"/>
      <c r="J132" s="506"/>
    </row>
    <row r="133" spans="1:31" s="2013" customFormat="1" ht="11.25" customHeight="1">
      <c r="A133" s="895"/>
      <c r="B133" s="1548"/>
      <c r="C133" s="1548"/>
      <c r="D133" s="276"/>
      <c r="F133" s="1552"/>
      <c r="G133" s="1543"/>
      <c r="H133" s="1543"/>
      <c r="I133" s="1543"/>
      <c r="K133" s="1060"/>
      <c r="L133" s="1548"/>
      <c r="M133" s="1548"/>
      <c r="N133" s="1060"/>
      <c r="O133" s="1060"/>
      <c r="P133" s="1060"/>
      <c r="Q133" s="1060"/>
      <c r="R133" s="1548"/>
      <c r="S133" s="1060"/>
      <c r="T133" s="1060"/>
      <c r="U133" s="469"/>
      <c r="V133" s="1060"/>
      <c r="W133" s="1060"/>
      <c r="X133" s="1060"/>
      <c r="Y133" s="1060"/>
      <c r="Z133" s="1060"/>
      <c r="AA133" s="1544"/>
      <c r="AB133" s="491"/>
      <c r="AC133" s="491"/>
      <c r="AD133" s="491"/>
      <c r="AE133" s="491"/>
    </row>
    <row r="134" spans="1:31" s="2013" customFormat="1" ht="11.25" customHeight="1">
      <c r="A134" s="895"/>
      <c r="B134" s="1548"/>
      <c r="C134" s="1548"/>
      <c r="D134" s="276"/>
      <c r="K134" s="1060"/>
      <c r="L134" s="1548"/>
      <c r="M134" s="1548"/>
      <c r="N134" s="1060"/>
      <c r="O134" s="1060"/>
      <c r="P134" s="1060"/>
      <c r="Q134" s="1060"/>
      <c r="R134" s="1548"/>
      <c r="S134" s="1060"/>
      <c r="T134" s="1060"/>
      <c r="U134" s="469"/>
      <c r="V134" s="1060"/>
      <c r="W134" s="1060"/>
      <c r="X134" s="1060"/>
      <c r="Y134" s="1060"/>
      <c r="Z134" s="1060"/>
      <c r="AA134" s="1544"/>
      <c r="AB134" s="491"/>
      <c r="AC134" s="491"/>
      <c r="AD134" s="491"/>
      <c r="AE134" s="491"/>
    </row>
    <row r="135" spans="1:31" s="2013" customFormat="1" ht="11.25" customHeight="1">
      <c r="A135" s="895"/>
      <c r="B135" s="1548"/>
      <c r="C135" s="1548"/>
      <c r="D135" s="276"/>
      <c r="K135" s="1060"/>
      <c r="L135" s="1548"/>
      <c r="M135" s="1548"/>
      <c r="N135" s="1060"/>
      <c r="O135" s="1060"/>
      <c r="P135" s="1060"/>
      <c r="Q135" s="1060"/>
      <c r="R135" s="1548"/>
      <c r="S135" s="1060"/>
      <c r="T135" s="1060"/>
      <c r="U135" s="469"/>
      <c r="V135" s="1060"/>
      <c r="W135" s="1060"/>
      <c r="X135" s="1060"/>
      <c r="Y135" s="1060"/>
      <c r="Z135" s="1060"/>
      <c r="AA135" s="1544"/>
      <c r="AB135" s="491"/>
      <c r="AC135" s="491"/>
      <c r="AD135" s="491"/>
      <c r="AE135" s="491"/>
    </row>
    <row r="136" spans="1:31" s="2013" customFormat="1" ht="11.25" customHeight="1">
      <c r="A136" s="895"/>
      <c r="B136" s="1548"/>
      <c r="C136" s="1548"/>
      <c r="D136" s="276"/>
      <c r="H136" s="491" t="str">
        <f>IF(H30-H31&lt;&gt;H72,"WARNING","")</f>
        <v/>
      </c>
      <c r="I136" s="491" t="str">
        <f>IF(I30-I31&lt;&gt;I72,"WARNING","")</f>
        <v/>
      </c>
      <c r="K136" s="1060"/>
      <c r="L136" s="1548"/>
      <c r="M136" s="1548"/>
      <c r="N136" s="1060"/>
      <c r="O136" s="1060"/>
      <c r="P136" s="1060"/>
      <c r="Q136" s="1060"/>
      <c r="R136" s="1548"/>
      <c r="S136" s="1060"/>
      <c r="T136" s="1060"/>
      <c r="U136" s="469"/>
      <c r="V136" s="1060"/>
      <c r="W136" s="1060"/>
      <c r="X136" s="1060"/>
      <c r="Y136" s="1060"/>
      <c r="Z136" s="1060"/>
      <c r="AA136" s="1544"/>
      <c r="AB136" s="491"/>
      <c r="AC136" s="491"/>
      <c r="AD136" s="491"/>
      <c r="AE136" s="491"/>
    </row>
    <row r="137" spans="1:31" s="2013" customFormat="1" ht="11.25" customHeight="1">
      <c r="A137" s="895"/>
      <c r="B137" s="1548"/>
      <c r="C137" s="1548"/>
      <c r="D137" s="276"/>
      <c r="K137" s="1060"/>
      <c r="L137" s="1548"/>
      <c r="M137" s="1548"/>
      <c r="N137" s="1060"/>
      <c r="O137" s="1060"/>
      <c r="P137" s="1060"/>
      <c r="Q137" s="1060"/>
      <c r="R137" s="1548"/>
      <c r="S137" s="1060"/>
      <c r="T137" s="1060"/>
      <c r="U137" s="469"/>
      <c r="V137" s="1060"/>
      <c r="W137" s="1060"/>
      <c r="X137" s="1060"/>
      <c r="Y137" s="1060"/>
      <c r="Z137" s="1060"/>
      <c r="AA137" s="1544"/>
      <c r="AB137" s="491"/>
      <c r="AC137" s="491"/>
      <c r="AD137" s="491"/>
      <c r="AE137" s="491"/>
    </row>
    <row r="138" spans="1:31" s="2013" customFormat="1" ht="11.25" customHeight="1">
      <c r="A138" s="895"/>
      <c r="B138" s="1548"/>
      <c r="C138" s="1548"/>
      <c r="D138" s="276"/>
      <c r="K138" s="1060"/>
      <c r="L138" s="1548"/>
      <c r="M138" s="1548"/>
      <c r="N138" s="1060"/>
      <c r="O138" s="1060"/>
      <c r="P138" s="1060"/>
      <c r="Q138" s="1060"/>
      <c r="R138" s="1548"/>
      <c r="S138" s="1060"/>
      <c r="T138" s="1060"/>
      <c r="U138" s="469"/>
      <c r="V138" s="1060"/>
      <c r="W138" s="1060"/>
      <c r="X138" s="1060"/>
      <c r="Y138" s="1060"/>
      <c r="Z138" s="1060"/>
      <c r="AA138" s="1544"/>
      <c r="AB138" s="491"/>
      <c r="AC138" s="491"/>
      <c r="AD138" s="491"/>
      <c r="AE138" s="491"/>
    </row>
    <row r="139" spans="1:31" s="2013" customFormat="1" ht="11.25" customHeight="1">
      <c r="A139" s="895"/>
      <c r="B139" s="1548"/>
      <c r="C139" s="1548"/>
      <c r="D139" s="276"/>
      <c r="K139" s="1060"/>
      <c r="L139" s="1548"/>
      <c r="M139" s="1548"/>
      <c r="N139" s="1060"/>
      <c r="O139" s="1060"/>
      <c r="P139" s="1060"/>
      <c r="Q139" s="1060"/>
      <c r="R139" s="1548"/>
      <c r="S139" s="1060"/>
      <c r="T139" s="1060"/>
      <c r="U139" s="469"/>
      <c r="V139" s="1060"/>
      <c r="W139" s="1060"/>
      <c r="X139" s="1060"/>
      <c r="Y139" s="1060"/>
      <c r="Z139" s="1060"/>
      <c r="AA139" s="1544"/>
      <c r="AB139" s="491"/>
      <c r="AC139" s="491"/>
      <c r="AD139" s="491"/>
      <c r="AE139" s="491"/>
    </row>
    <row r="140" spans="1:31" s="2013" customFormat="1" ht="11.25" customHeight="1">
      <c r="A140" s="895"/>
      <c r="B140" s="1548"/>
      <c r="C140" s="1548"/>
      <c r="D140" s="276"/>
      <c r="K140" s="1060"/>
      <c r="L140" s="1548"/>
      <c r="M140" s="1548"/>
      <c r="N140" s="1060"/>
      <c r="O140" s="1060"/>
      <c r="P140" s="1060"/>
      <c r="Q140" s="1060"/>
      <c r="R140" s="1548"/>
      <c r="S140" s="1060"/>
      <c r="T140" s="1060"/>
      <c r="U140" s="469"/>
      <c r="V140" s="1060"/>
      <c r="W140" s="1060"/>
      <c r="X140" s="1060"/>
      <c r="Y140" s="1060"/>
      <c r="Z140" s="1060"/>
      <c r="AA140" s="1544"/>
      <c r="AB140" s="491"/>
      <c r="AC140" s="491"/>
      <c r="AD140" s="491"/>
      <c r="AE140" s="491"/>
    </row>
    <row r="141" spans="1:31" s="2013" customFormat="1" ht="11.25" customHeight="1">
      <c r="A141" s="895"/>
      <c r="B141" s="1548"/>
      <c r="C141" s="1548"/>
      <c r="D141" s="276"/>
      <c r="K141" s="1060"/>
      <c r="L141" s="1548"/>
      <c r="M141" s="1548"/>
      <c r="N141" s="1060"/>
      <c r="O141" s="1060"/>
      <c r="P141" s="1060"/>
      <c r="Q141" s="1060"/>
      <c r="R141" s="1548"/>
      <c r="S141" s="1060"/>
      <c r="T141" s="1060"/>
      <c r="U141" s="469"/>
      <c r="V141" s="1060"/>
      <c r="W141" s="1060"/>
      <c r="X141" s="1060"/>
      <c r="Y141" s="1060"/>
      <c r="Z141" s="1060"/>
      <c r="AA141" s="1544"/>
      <c r="AB141" s="491"/>
      <c r="AC141" s="491"/>
      <c r="AD141" s="491"/>
      <c r="AE141" s="491"/>
    </row>
    <row r="142" spans="1:31" s="2013" customFormat="1" ht="11.25" customHeight="1">
      <c r="A142" s="895"/>
      <c r="B142" s="1548"/>
      <c r="C142" s="1548"/>
      <c r="D142" s="276"/>
      <c r="K142" s="1060"/>
      <c r="L142" s="1548"/>
      <c r="M142" s="1548"/>
      <c r="N142" s="1060"/>
      <c r="O142" s="1060"/>
      <c r="P142" s="1060"/>
      <c r="Q142" s="1060"/>
      <c r="R142" s="1548"/>
      <c r="S142" s="1060"/>
      <c r="T142" s="1060"/>
      <c r="U142" s="469"/>
      <c r="V142" s="1060"/>
      <c r="W142" s="1060"/>
      <c r="X142" s="1060"/>
      <c r="Y142" s="1060"/>
      <c r="Z142" s="1060"/>
      <c r="AA142" s="1544"/>
      <c r="AB142" s="491"/>
      <c r="AC142" s="491"/>
      <c r="AD142" s="491"/>
      <c r="AE142" s="491"/>
    </row>
    <row r="143" spans="1:31" s="2013" customFormat="1" ht="11.25" customHeight="1">
      <c r="A143" s="895"/>
      <c r="B143" s="1548"/>
      <c r="C143" s="1548"/>
      <c r="D143" s="276"/>
      <c r="K143" s="1060"/>
      <c r="L143" s="1548"/>
      <c r="M143" s="1548"/>
      <c r="N143" s="1060"/>
      <c r="O143" s="1060"/>
      <c r="P143" s="1060"/>
      <c r="Q143" s="1060"/>
      <c r="R143" s="1548"/>
      <c r="S143" s="1060"/>
      <c r="T143" s="1060"/>
      <c r="U143" s="469"/>
      <c r="V143" s="1060"/>
      <c r="W143" s="1060"/>
      <c r="X143" s="1060"/>
      <c r="Y143" s="1060"/>
      <c r="Z143" s="1060"/>
      <c r="AA143" s="1544"/>
      <c r="AB143" s="491"/>
      <c r="AC143" s="491"/>
      <c r="AD143" s="491"/>
      <c r="AE143" s="491"/>
    </row>
    <row r="144" spans="1:31" s="2013" customFormat="1" ht="11.25" customHeight="1">
      <c r="A144" s="895"/>
      <c r="B144" s="1548"/>
      <c r="C144" s="1548"/>
      <c r="D144" s="276"/>
      <c r="K144" s="1060"/>
      <c r="L144" s="1548"/>
      <c r="M144" s="1548"/>
      <c r="N144" s="1060"/>
      <c r="O144" s="1060"/>
      <c r="P144" s="1060"/>
      <c r="Q144" s="1060"/>
      <c r="R144" s="1548"/>
      <c r="S144" s="1060"/>
      <c r="T144" s="1060"/>
      <c r="U144" s="469"/>
      <c r="V144" s="1060"/>
      <c r="W144" s="1060"/>
      <c r="X144" s="1060"/>
      <c r="Y144" s="1060"/>
      <c r="Z144" s="1060"/>
      <c r="AA144" s="1544"/>
      <c r="AB144" s="491"/>
      <c r="AC144" s="491"/>
      <c r="AD144" s="491"/>
      <c r="AE144" s="491"/>
    </row>
    <row r="145" spans="1:31" s="2013" customFormat="1" ht="11.25" customHeight="1">
      <c r="A145" s="895"/>
      <c r="B145" s="1548"/>
      <c r="C145" s="1548"/>
      <c r="D145" s="276"/>
      <c r="K145" s="1060"/>
      <c r="L145" s="1548"/>
      <c r="M145" s="1548"/>
      <c r="N145" s="1060"/>
      <c r="O145" s="1060"/>
      <c r="P145" s="1060"/>
      <c r="Q145" s="1060"/>
      <c r="R145" s="1548"/>
      <c r="S145" s="1060"/>
      <c r="T145" s="1060"/>
      <c r="U145" s="469"/>
      <c r="V145" s="1060"/>
      <c r="W145" s="1060"/>
      <c r="X145" s="1060"/>
      <c r="Y145" s="1060"/>
      <c r="Z145" s="1060"/>
      <c r="AA145" s="1544"/>
      <c r="AB145" s="491"/>
      <c r="AC145" s="491"/>
      <c r="AD145" s="491"/>
      <c r="AE145" s="491"/>
    </row>
    <row r="146" spans="1:31" s="2013" customFormat="1" ht="11.25" customHeight="1">
      <c r="A146" s="895"/>
      <c r="B146" s="1548"/>
      <c r="C146" s="1548"/>
      <c r="D146" s="276"/>
      <c r="K146" s="1060"/>
      <c r="L146" s="1548"/>
      <c r="M146" s="1548"/>
      <c r="N146" s="1060"/>
      <c r="O146" s="1060"/>
      <c r="P146" s="1060"/>
      <c r="Q146" s="1060"/>
      <c r="R146" s="1548"/>
      <c r="S146" s="1060"/>
      <c r="T146" s="1060"/>
      <c r="U146" s="469"/>
      <c r="V146" s="1060"/>
      <c r="W146" s="1060"/>
      <c r="X146" s="1060"/>
      <c r="Y146" s="1060"/>
      <c r="Z146" s="1060"/>
      <c r="AA146" s="1544"/>
      <c r="AB146" s="491"/>
      <c r="AC146" s="491"/>
      <c r="AD146" s="491"/>
      <c r="AE146" s="491"/>
    </row>
    <row r="147" spans="1:31" s="2013" customFormat="1" ht="11.25" customHeight="1">
      <c r="A147" s="895"/>
      <c r="B147" s="1548"/>
      <c r="C147" s="1548"/>
      <c r="D147" s="276"/>
      <c r="K147" s="1060"/>
      <c r="L147" s="1548"/>
      <c r="M147" s="1548"/>
      <c r="N147" s="1060"/>
      <c r="O147" s="1060"/>
      <c r="P147" s="1060"/>
      <c r="Q147" s="1060"/>
      <c r="R147" s="1548"/>
      <c r="S147" s="1060"/>
      <c r="T147" s="1060"/>
      <c r="U147" s="469"/>
      <c r="V147" s="1060"/>
      <c r="W147" s="1060"/>
      <c r="X147" s="1060"/>
      <c r="Y147" s="1060"/>
      <c r="Z147" s="1060"/>
      <c r="AA147" s="1544"/>
      <c r="AB147" s="491"/>
      <c r="AC147" s="491"/>
      <c r="AD147" s="491"/>
      <c r="AE147" s="491"/>
    </row>
    <row r="148" spans="1:31" s="2013" customFormat="1" ht="11.25" customHeight="1">
      <c r="A148" s="895"/>
      <c r="B148" s="1548"/>
      <c r="C148" s="1548"/>
      <c r="D148" s="276"/>
      <c r="K148" s="1060"/>
      <c r="L148" s="1548"/>
      <c r="M148" s="1548"/>
      <c r="N148" s="1060"/>
      <c r="O148" s="1060"/>
      <c r="P148" s="1060"/>
      <c r="Q148" s="1060"/>
      <c r="R148" s="1548"/>
      <c r="S148" s="1060"/>
      <c r="T148" s="1060"/>
      <c r="U148" s="469"/>
      <c r="V148" s="1060"/>
      <c r="W148" s="1060"/>
      <c r="X148" s="1060"/>
      <c r="Y148" s="1060"/>
      <c r="Z148" s="1060"/>
      <c r="AA148" s="1544"/>
      <c r="AB148" s="491"/>
      <c r="AC148" s="491"/>
      <c r="AD148" s="491"/>
      <c r="AE148" s="491"/>
    </row>
    <row r="149" spans="1:31" s="2013" customFormat="1" ht="11.25" customHeight="1">
      <c r="A149" s="895"/>
      <c r="B149" s="1548"/>
      <c r="C149" s="1548"/>
      <c r="D149" s="276"/>
      <c r="K149" s="1060"/>
      <c r="L149" s="1548"/>
      <c r="M149" s="1548"/>
      <c r="N149" s="1060"/>
      <c r="O149" s="1060"/>
      <c r="P149" s="1060"/>
      <c r="Q149" s="1060"/>
      <c r="R149" s="1548"/>
      <c r="S149" s="1060"/>
      <c r="T149" s="1060"/>
      <c r="U149" s="469"/>
      <c r="V149" s="1060"/>
      <c r="W149" s="1060"/>
      <c r="X149" s="1060"/>
      <c r="Y149" s="1060"/>
      <c r="Z149" s="1060"/>
      <c r="AA149" s="1544"/>
      <c r="AB149" s="491"/>
      <c r="AC149" s="491"/>
      <c r="AD149" s="491"/>
      <c r="AE149" s="491"/>
    </row>
    <row r="150" spans="1:31" s="2013" customFormat="1" ht="11.25" customHeight="1">
      <c r="A150" s="895"/>
      <c r="B150" s="1548"/>
      <c r="C150" s="1548"/>
      <c r="D150" s="276"/>
      <c r="K150" s="1060"/>
      <c r="L150" s="1548"/>
      <c r="M150" s="1548"/>
      <c r="N150" s="1060"/>
      <c r="O150" s="1060"/>
      <c r="P150" s="1060"/>
      <c r="Q150" s="1060"/>
      <c r="R150" s="1548"/>
      <c r="S150" s="1060"/>
      <c r="T150" s="1060"/>
      <c r="U150" s="469"/>
      <c r="V150" s="1060"/>
      <c r="W150" s="1060"/>
      <c r="X150" s="1060"/>
      <c r="Y150" s="1060"/>
      <c r="Z150" s="1060"/>
      <c r="AA150" s="1544"/>
      <c r="AB150" s="491"/>
      <c r="AC150" s="491"/>
      <c r="AD150" s="491"/>
      <c r="AE150" s="491"/>
    </row>
    <row r="151" spans="1:31" s="2013" customFormat="1" ht="11.25" customHeight="1">
      <c r="A151" s="895"/>
      <c r="B151" s="1548"/>
      <c r="C151" s="1548"/>
      <c r="D151" s="276"/>
      <c r="K151" s="1060"/>
      <c r="L151" s="1548"/>
      <c r="M151" s="1548"/>
      <c r="N151" s="1060"/>
      <c r="O151" s="1060"/>
      <c r="P151" s="1060"/>
      <c r="Q151" s="1060"/>
      <c r="R151" s="1548"/>
      <c r="S151" s="1060"/>
      <c r="T151" s="1060"/>
      <c r="U151" s="469"/>
      <c r="V151" s="1060"/>
      <c r="W151" s="1060"/>
      <c r="X151" s="1060"/>
      <c r="Y151" s="1060"/>
      <c r="Z151" s="1060"/>
      <c r="AA151" s="1544"/>
      <c r="AB151" s="491"/>
      <c r="AC151" s="491"/>
      <c r="AD151" s="491"/>
      <c r="AE151" s="491"/>
    </row>
    <row r="152" spans="1:31" s="2013" customFormat="1" ht="11.25" customHeight="1">
      <c r="A152" s="895"/>
      <c r="B152" s="1548"/>
      <c r="C152" s="1548"/>
      <c r="D152" s="276"/>
      <c r="K152" s="1060"/>
      <c r="L152" s="1548"/>
      <c r="M152" s="1548"/>
      <c r="N152" s="1060"/>
      <c r="O152" s="1060"/>
      <c r="P152" s="1060"/>
      <c r="Q152" s="1060"/>
      <c r="R152" s="1548"/>
      <c r="S152" s="1060"/>
      <c r="T152" s="1060"/>
      <c r="U152" s="469"/>
      <c r="V152" s="1060"/>
      <c r="W152" s="1060"/>
      <c r="X152" s="1060"/>
      <c r="Y152" s="1060"/>
      <c r="Z152" s="1060"/>
      <c r="AA152" s="1544"/>
      <c r="AB152" s="491"/>
      <c r="AC152" s="491"/>
      <c r="AD152" s="491"/>
      <c r="AE152" s="491"/>
    </row>
    <row r="153" spans="1:31" s="2013" customFormat="1" ht="11.25" customHeight="1">
      <c r="A153" s="895"/>
      <c r="B153" s="1548"/>
      <c r="C153" s="1548"/>
      <c r="D153" s="276"/>
      <c r="K153" s="1060"/>
      <c r="L153" s="1548"/>
      <c r="M153" s="1548"/>
      <c r="N153" s="1060"/>
      <c r="O153" s="1060"/>
      <c r="P153" s="1060"/>
      <c r="Q153" s="1060"/>
      <c r="R153" s="1548"/>
      <c r="S153" s="1060"/>
      <c r="T153" s="1060"/>
      <c r="U153" s="469"/>
      <c r="V153" s="1060"/>
      <c r="W153" s="1060"/>
      <c r="X153" s="1060"/>
      <c r="Y153" s="1060"/>
      <c r="Z153" s="1060"/>
      <c r="AA153" s="1544"/>
      <c r="AB153" s="491"/>
      <c r="AC153" s="491"/>
      <c r="AD153" s="491"/>
      <c r="AE153" s="491"/>
    </row>
    <row r="154" spans="1:31" s="2013" customFormat="1" ht="11.25" customHeight="1">
      <c r="A154" s="895"/>
      <c r="B154" s="1548"/>
      <c r="C154" s="1548"/>
      <c r="D154" s="276"/>
      <c r="K154" s="1060"/>
      <c r="L154" s="1548"/>
      <c r="M154" s="1548"/>
      <c r="N154" s="1060"/>
      <c r="O154" s="1060"/>
      <c r="P154" s="1060"/>
      <c r="Q154" s="1060"/>
      <c r="R154" s="1548"/>
      <c r="S154" s="1060"/>
      <c r="T154" s="1060"/>
      <c r="U154" s="469"/>
      <c r="V154" s="1060"/>
      <c r="W154" s="1060"/>
      <c r="X154" s="1060"/>
      <c r="Y154" s="1060"/>
      <c r="Z154" s="1060"/>
      <c r="AA154" s="1544"/>
      <c r="AB154" s="491"/>
      <c r="AC154" s="491"/>
      <c r="AD154" s="491"/>
      <c r="AE154" s="491"/>
    </row>
    <row r="155" spans="1:31" s="2013" customFormat="1" ht="11.25" customHeight="1">
      <c r="A155" s="895"/>
      <c r="B155" s="1548"/>
      <c r="C155" s="1548"/>
      <c r="D155" s="276"/>
      <c r="K155" s="1060"/>
      <c r="L155" s="1548"/>
      <c r="M155" s="1548"/>
      <c r="N155" s="1060"/>
      <c r="O155" s="1060"/>
      <c r="P155" s="1060"/>
      <c r="Q155" s="1060"/>
      <c r="R155" s="1548"/>
      <c r="S155" s="1060"/>
      <c r="T155" s="1060"/>
      <c r="U155" s="469"/>
      <c r="V155" s="1060"/>
      <c r="W155" s="1060"/>
      <c r="X155" s="1060"/>
      <c r="Y155" s="1060"/>
      <c r="Z155" s="1060"/>
      <c r="AA155" s="1544"/>
      <c r="AB155" s="491"/>
      <c r="AC155" s="491"/>
      <c r="AD155" s="491"/>
      <c r="AE155" s="491"/>
    </row>
    <row r="156" spans="1:31" s="2013" customFormat="1" ht="11.25" customHeight="1">
      <c r="A156" s="895"/>
      <c r="B156" s="1548"/>
      <c r="C156" s="1548"/>
      <c r="D156" s="276"/>
      <c r="K156" s="1060"/>
      <c r="L156" s="1548"/>
      <c r="M156" s="1548"/>
      <c r="N156" s="1060"/>
      <c r="O156" s="1060"/>
      <c r="P156" s="1060"/>
      <c r="Q156" s="1060"/>
      <c r="R156" s="1548"/>
      <c r="S156" s="1060"/>
      <c r="T156" s="1060"/>
      <c r="U156" s="469"/>
      <c r="V156" s="1060"/>
      <c r="W156" s="1060"/>
      <c r="X156" s="1060"/>
      <c r="Y156" s="1060"/>
      <c r="Z156" s="1060"/>
      <c r="AA156" s="1544"/>
      <c r="AB156" s="491"/>
      <c r="AC156" s="491"/>
      <c r="AD156" s="491"/>
      <c r="AE156" s="491"/>
    </row>
    <row r="157" spans="1:31" s="2013" customFormat="1" ht="11.25" customHeight="1">
      <c r="A157" s="895"/>
      <c r="B157" s="1548"/>
      <c r="C157" s="1548"/>
      <c r="D157" s="276"/>
      <c r="K157" s="1060"/>
      <c r="L157" s="1548"/>
      <c r="M157" s="1548"/>
      <c r="N157" s="1060"/>
      <c r="O157" s="1060"/>
      <c r="P157" s="1060"/>
      <c r="Q157" s="1060"/>
      <c r="R157" s="1548"/>
      <c r="S157" s="1060"/>
      <c r="T157" s="1060"/>
      <c r="U157" s="469"/>
      <c r="V157" s="1060"/>
      <c r="W157" s="1060"/>
      <c r="X157" s="1060"/>
      <c r="Y157" s="1060"/>
      <c r="Z157" s="1060"/>
      <c r="AA157" s="1544"/>
      <c r="AB157" s="491"/>
      <c r="AC157" s="491"/>
      <c r="AD157" s="491"/>
      <c r="AE157" s="491"/>
    </row>
    <row r="158" spans="1:31" s="2013" customFormat="1" ht="11.25" customHeight="1">
      <c r="A158" s="895"/>
      <c r="B158" s="1548"/>
      <c r="C158" s="1548"/>
      <c r="D158" s="276"/>
      <c r="K158" s="1060"/>
      <c r="L158" s="1548"/>
      <c r="M158" s="1548"/>
      <c r="N158" s="1060"/>
      <c r="O158" s="1060"/>
      <c r="P158" s="1060"/>
      <c r="Q158" s="1060"/>
      <c r="R158" s="1548"/>
      <c r="S158" s="1060"/>
      <c r="T158" s="1060"/>
      <c r="U158" s="469"/>
      <c r="V158" s="1060"/>
      <c r="W158" s="1060"/>
      <c r="X158" s="1060"/>
      <c r="Y158" s="1060"/>
      <c r="Z158" s="1060"/>
      <c r="AA158" s="1544"/>
      <c r="AB158" s="491"/>
      <c r="AC158" s="491"/>
      <c r="AD158" s="491"/>
      <c r="AE158" s="491"/>
    </row>
    <row r="159" spans="1:31" s="2013" customFormat="1" ht="11.25" customHeight="1">
      <c r="A159" s="895"/>
      <c r="B159" s="1548"/>
      <c r="C159" s="1548"/>
      <c r="D159" s="276"/>
      <c r="K159" s="1060"/>
      <c r="L159" s="1548"/>
      <c r="M159" s="1548"/>
      <c r="N159" s="1060"/>
      <c r="O159" s="1060"/>
      <c r="P159" s="1060"/>
      <c r="Q159" s="1060"/>
      <c r="R159" s="1548"/>
      <c r="S159" s="1060"/>
      <c r="T159" s="1060"/>
      <c r="U159" s="469"/>
      <c r="V159" s="1060"/>
      <c r="W159" s="1060"/>
      <c r="X159" s="1060"/>
      <c r="Y159" s="1060"/>
      <c r="Z159" s="1060"/>
      <c r="AA159" s="1544"/>
      <c r="AB159" s="491"/>
      <c r="AC159" s="491"/>
      <c r="AD159" s="491"/>
      <c r="AE159" s="491"/>
    </row>
    <row r="160" spans="1:31" s="2013" customFormat="1" ht="11.25" customHeight="1">
      <c r="A160" s="895"/>
      <c r="B160" s="1548"/>
      <c r="C160" s="1548"/>
      <c r="D160" s="276"/>
      <c r="K160" s="1060"/>
      <c r="L160" s="1548"/>
      <c r="M160" s="1548"/>
      <c r="N160" s="1060"/>
      <c r="O160" s="1060"/>
      <c r="P160" s="1060"/>
      <c r="Q160" s="1060"/>
      <c r="R160" s="1548"/>
      <c r="S160" s="1060"/>
      <c r="T160" s="1060"/>
      <c r="U160" s="469"/>
      <c r="V160" s="1060"/>
      <c r="W160" s="1060"/>
      <c r="X160" s="1060"/>
      <c r="Y160" s="1060"/>
      <c r="Z160" s="1060"/>
      <c r="AA160" s="1544"/>
      <c r="AB160" s="491"/>
      <c r="AC160" s="491"/>
      <c r="AD160" s="491"/>
      <c r="AE160" s="491"/>
    </row>
    <row r="161" spans="1:31" s="2013" customFormat="1" ht="11.25" customHeight="1">
      <c r="A161" s="895"/>
      <c r="B161" s="1548"/>
      <c r="C161" s="1548"/>
      <c r="D161" s="276"/>
      <c r="K161" s="1060"/>
      <c r="L161" s="1548"/>
      <c r="M161" s="1548"/>
      <c r="N161" s="1060"/>
      <c r="O161" s="1060"/>
      <c r="P161" s="1060"/>
      <c r="Q161" s="1060"/>
      <c r="R161" s="1548"/>
      <c r="S161" s="1060"/>
      <c r="T161" s="1060"/>
      <c r="U161" s="469"/>
      <c r="V161" s="1060"/>
      <c r="W161" s="1060"/>
      <c r="X161" s="1060"/>
      <c r="Y161" s="1060"/>
      <c r="Z161" s="1060"/>
      <c r="AA161" s="1544"/>
      <c r="AB161" s="491"/>
      <c r="AC161" s="491"/>
      <c r="AD161" s="491"/>
      <c r="AE161" s="491"/>
    </row>
    <row r="162" spans="1:31" s="2013" customFormat="1" ht="11.25" customHeight="1">
      <c r="A162" s="895"/>
      <c r="B162" s="1548"/>
      <c r="C162" s="1548"/>
      <c r="D162" s="276"/>
      <c r="K162" s="1060"/>
      <c r="L162" s="1548"/>
      <c r="M162" s="1548"/>
      <c r="N162" s="1060"/>
      <c r="O162" s="1060"/>
      <c r="P162" s="1060"/>
      <c r="Q162" s="1060"/>
      <c r="R162" s="1548"/>
      <c r="S162" s="1060"/>
      <c r="T162" s="1060"/>
      <c r="U162" s="469"/>
      <c r="V162" s="1060"/>
      <c r="W162" s="1060"/>
      <c r="X162" s="1060"/>
      <c r="Y162" s="1060"/>
      <c r="Z162" s="1060"/>
      <c r="AA162" s="1544"/>
      <c r="AB162" s="491"/>
      <c r="AC162" s="491"/>
      <c r="AD162" s="491"/>
      <c r="AE162" s="491"/>
    </row>
    <row r="163" spans="1:31" s="2013" customFormat="1" ht="11.25" customHeight="1">
      <c r="A163" s="895"/>
      <c r="B163" s="1548"/>
      <c r="C163" s="1548"/>
      <c r="D163" s="276"/>
      <c r="K163" s="1060"/>
      <c r="L163" s="1548"/>
      <c r="M163" s="1548"/>
      <c r="N163" s="1060"/>
      <c r="O163" s="1060"/>
      <c r="P163" s="1060"/>
      <c r="Q163" s="1060"/>
      <c r="R163" s="1548"/>
      <c r="S163" s="1060"/>
      <c r="T163" s="1060"/>
      <c r="U163" s="469"/>
      <c r="V163" s="1060"/>
      <c r="W163" s="1060"/>
      <c r="X163" s="1060"/>
      <c r="Y163" s="1060"/>
      <c r="Z163" s="1060"/>
      <c r="AA163" s="1544"/>
      <c r="AB163" s="491"/>
      <c r="AC163" s="491"/>
      <c r="AD163" s="491"/>
      <c r="AE163" s="491"/>
    </row>
    <row r="164" spans="1:31" s="2013" customFormat="1" ht="11.25" customHeight="1">
      <c r="A164" s="895"/>
      <c r="B164" s="1548"/>
      <c r="C164" s="1548"/>
      <c r="D164" s="276"/>
      <c r="K164" s="1060"/>
      <c r="L164" s="1548"/>
      <c r="M164" s="1548"/>
      <c r="N164" s="1060"/>
      <c r="O164" s="1060"/>
      <c r="P164" s="1060"/>
      <c r="Q164" s="1060"/>
      <c r="R164" s="1548"/>
      <c r="S164" s="1060"/>
      <c r="T164" s="1060"/>
      <c r="U164" s="469"/>
      <c r="V164" s="1060"/>
      <c r="W164" s="1060"/>
      <c r="X164" s="1060"/>
      <c r="Y164" s="1060"/>
      <c r="Z164" s="1060"/>
      <c r="AA164" s="1544"/>
      <c r="AB164" s="491"/>
      <c r="AC164" s="491"/>
      <c r="AD164" s="491"/>
      <c r="AE164" s="491"/>
    </row>
    <row r="165" spans="1:31" s="2013" customFormat="1" ht="11.25" customHeight="1">
      <c r="A165" s="895"/>
      <c r="B165" s="1548"/>
      <c r="C165" s="1548"/>
      <c r="D165" s="276"/>
      <c r="K165" s="1060"/>
      <c r="L165" s="1548"/>
      <c r="M165" s="1548"/>
      <c r="N165" s="1060"/>
      <c r="O165" s="1060"/>
      <c r="P165" s="1060"/>
      <c r="Q165" s="1060"/>
      <c r="R165" s="1548"/>
      <c r="S165" s="1060"/>
      <c r="T165" s="1060"/>
      <c r="U165" s="469"/>
      <c r="V165" s="1060"/>
      <c r="W165" s="1060"/>
      <c r="X165" s="1060"/>
      <c r="Y165" s="1060"/>
      <c r="Z165" s="1060"/>
      <c r="AA165" s="1544"/>
      <c r="AB165" s="491"/>
      <c r="AC165" s="491"/>
      <c r="AD165" s="491"/>
      <c r="AE165" s="491"/>
    </row>
    <row r="166" spans="1:31" s="2013" customFormat="1" ht="11.25" customHeight="1">
      <c r="A166" s="895"/>
      <c r="B166" s="1548"/>
      <c r="C166" s="1548"/>
      <c r="D166" s="276"/>
      <c r="K166" s="1060"/>
      <c r="L166" s="1548"/>
      <c r="M166" s="1548"/>
      <c r="N166" s="1060"/>
      <c r="O166" s="1060"/>
      <c r="P166" s="1060"/>
      <c r="Q166" s="1060"/>
      <c r="R166" s="1548"/>
      <c r="S166" s="1060"/>
      <c r="T166" s="1060"/>
      <c r="U166" s="469"/>
      <c r="V166" s="1060"/>
      <c r="W166" s="1060"/>
      <c r="X166" s="1060"/>
      <c r="Y166" s="1060"/>
      <c r="Z166" s="1060"/>
      <c r="AA166" s="1544"/>
      <c r="AB166" s="491"/>
      <c r="AC166" s="491"/>
      <c r="AD166" s="491"/>
      <c r="AE166" s="491"/>
    </row>
    <row r="167" spans="1:31" s="2013" customFormat="1" ht="11.25" customHeight="1">
      <c r="A167" s="895"/>
      <c r="B167" s="1548"/>
      <c r="C167" s="1548"/>
      <c r="D167" s="276"/>
      <c r="K167" s="1060"/>
      <c r="L167" s="1548"/>
      <c r="M167" s="1548"/>
      <c r="N167" s="1060"/>
      <c r="O167" s="1060"/>
      <c r="P167" s="1060"/>
      <c r="Q167" s="1060"/>
      <c r="R167" s="1548"/>
      <c r="S167" s="1060"/>
      <c r="T167" s="1060"/>
      <c r="U167" s="469"/>
      <c r="V167" s="1060"/>
      <c r="W167" s="1060"/>
      <c r="X167" s="1060"/>
      <c r="Y167" s="1060"/>
      <c r="Z167" s="1060"/>
      <c r="AA167" s="1544"/>
      <c r="AB167" s="491"/>
      <c r="AC167" s="491"/>
      <c r="AD167" s="491"/>
      <c r="AE167" s="491"/>
    </row>
    <row r="168" spans="1:31" s="2013" customFormat="1" ht="11.25" customHeight="1">
      <c r="A168" s="895"/>
      <c r="B168" s="1548"/>
      <c r="C168" s="1548"/>
      <c r="D168" s="276"/>
      <c r="K168" s="1060"/>
      <c r="L168" s="1548"/>
      <c r="M168" s="1548"/>
      <c r="N168" s="1060"/>
      <c r="O168" s="1060"/>
      <c r="P168" s="1060"/>
      <c r="Q168" s="1060"/>
      <c r="R168" s="1548"/>
      <c r="S168" s="1060"/>
      <c r="T168" s="1060"/>
      <c r="U168" s="469"/>
      <c r="V168" s="1060"/>
      <c r="W168" s="1060"/>
      <c r="X168" s="1060"/>
      <c r="Y168" s="1060"/>
      <c r="Z168" s="1060"/>
      <c r="AA168" s="1544"/>
      <c r="AB168" s="491"/>
      <c r="AC168" s="491"/>
      <c r="AD168" s="491"/>
      <c r="AE168" s="491"/>
    </row>
    <row r="169" spans="1:31" s="2013" customFormat="1" ht="11.25" customHeight="1">
      <c r="A169" s="895"/>
      <c r="B169" s="1548"/>
      <c r="C169" s="1548"/>
      <c r="D169" s="276"/>
      <c r="K169" s="1060"/>
      <c r="L169" s="1548"/>
      <c r="M169" s="1548"/>
      <c r="N169" s="1060"/>
      <c r="O169" s="1060"/>
      <c r="P169" s="1060"/>
      <c r="Q169" s="1060"/>
      <c r="R169" s="1548"/>
      <c r="S169" s="1060"/>
      <c r="T169" s="1060"/>
      <c r="U169" s="469"/>
      <c r="V169" s="1060"/>
      <c r="W169" s="1060"/>
      <c r="X169" s="1060"/>
      <c r="Y169" s="1060"/>
      <c r="Z169" s="1060"/>
      <c r="AA169" s="1544"/>
      <c r="AB169" s="491"/>
      <c r="AC169" s="491"/>
      <c r="AD169" s="491"/>
      <c r="AE169" s="491"/>
    </row>
    <row r="170" spans="1:31" s="2013" customFormat="1" ht="11.25" customHeight="1">
      <c r="A170" s="895"/>
      <c r="B170" s="1548"/>
      <c r="C170" s="1548"/>
      <c r="D170" s="276"/>
      <c r="K170" s="1060"/>
      <c r="L170" s="1548"/>
      <c r="M170" s="1548"/>
      <c r="N170" s="1060"/>
      <c r="O170" s="1060"/>
      <c r="P170" s="1060"/>
      <c r="Q170" s="1060"/>
      <c r="R170" s="1548"/>
      <c r="S170" s="1060"/>
      <c r="T170" s="1060"/>
      <c r="U170" s="469"/>
      <c r="V170" s="1060"/>
      <c r="W170" s="1060"/>
      <c r="X170" s="1060"/>
      <c r="Y170" s="1060"/>
      <c r="Z170" s="1060"/>
      <c r="AA170" s="1544"/>
      <c r="AB170" s="491"/>
      <c r="AC170" s="491"/>
      <c r="AD170" s="491"/>
      <c r="AE170" s="491"/>
    </row>
    <row r="171" spans="1:31" s="2013" customFormat="1" ht="11.25" customHeight="1">
      <c r="A171" s="895"/>
      <c r="B171" s="1548"/>
      <c r="C171" s="1548"/>
      <c r="D171" s="276"/>
      <c r="K171" s="1060"/>
      <c r="L171" s="1548"/>
      <c r="M171" s="1548"/>
      <c r="N171" s="1060"/>
      <c r="O171" s="1060"/>
      <c r="P171" s="1060"/>
      <c r="Q171" s="1060"/>
      <c r="R171" s="1548"/>
      <c r="S171" s="1060"/>
      <c r="T171" s="1060"/>
      <c r="U171" s="469"/>
      <c r="V171" s="1060"/>
      <c r="W171" s="1060"/>
      <c r="X171" s="1060"/>
      <c r="Y171" s="1060"/>
      <c r="Z171" s="1060"/>
      <c r="AA171" s="1544"/>
      <c r="AB171" s="491"/>
      <c r="AC171" s="491"/>
      <c r="AD171" s="491"/>
      <c r="AE171" s="491"/>
    </row>
    <row r="172" spans="1:31" s="2013" customFormat="1" ht="11.25" customHeight="1">
      <c r="A172" s="895"/>
      <c r="B172" s="1548"/>
      <c r="C172" s="1548"/>
      <c r="D172" s="276"/>
      <c r="K172" s="1060"/>
      <c r="L172" s="1548"/>
      <c r="M172" s="1548"/>
      <c r="N172" s="1060"/>
      <c r="O172" s="1060"/>
      <c r="P172" s="1060"/>
      <c r="Q172" s="1060"/>
      <c r="R172" s="1548"/>
      <c r="S172" s="1060"/>
      <c r="T172" s="1060"/>
      <c r="U172" s="469"/>
      <c r="V172" s="1060"/>
      <c r="W172" s="1060"/>
      <c r="X172" s="1060"/>
      <c r="Y172" s="1060"/>
      <c r="Z172" s="1060"/>
      <c r="AA172" s="1544"/>
      <c r="AB172" s="491"/>
      <c r="AC172" s="491"/>
      <c r="AD172" s="491"/>
      <c r="AE172" s="491"/>
    </row>
    <row r="173" spans="1:31" s="2013" customFormat="1" ht="11.25" customHeight="1">
      <c r="A173" s="895"/>
      <c r="B173" s="1548"/>
      <c r="C173" s="1548"/>
      <c r="D173" s="276"/>
      <c r="K173" s="1060"/>
      <c r="L173" s="1548"/>
      <c r="M173" s="1548"/>
      <c r="N173" s="1060"/>
      <c r="O173" s="1060"/>
      <c r="P173" s="1060"/>
      <c r="Q173" s="1060"/>
      <c r="R173" s="1548"/>
      <c r="S173" s="1060"/>
      <c r="T173" s="1060"/>
      <c r="U173" s="469"/>
      <c r="V173" s="1060"/>
      <c r="W173" s="1060"/>
      <c r="X173" s="1060"/>
      <c r="Y173" s="1060"/>
      <c r="Z173" s="1060"/>
      <c r="AA173" s="1544"/>
      <c r="AB173" s="491"/>
      <c r="AC173" s="491"/>
      <c r="AD173" s="491"/>
      <c r="AE173" s="491"/>
    </row>
    <row r="174" spans="1:31" s="2013" customFormat="1" ht="11.25" customHeight="1">
      <c r="A174" s="895"/>
      <c r="B174" s="1548"/>
      <c r="C174" s="1548"/>
      <c r="D174" s="276"/>
      <c r="K174" s="1060"/>
      <c r="L174" s="1548"/>
      <c r="M174" s="1548"/>
      <c r="N174" s="1060"/>
      <c r="O174" s="1060"/>
      <c r="P174" s="1060"/>
      <c r="Q174" s="1060"/>
      <c r="R174" s="1548"/>
      <c r="S174" s="1060"/>
      <c r="T174" s="1060"/>
      <c r="U174" s="469"/>
      <c r="V174" s="1060"/>
      <c r="W174" s="1060"/>
      <c r="X174" s="1060"/>
      <c r="Y174" s="1060"/>
      <c r="Z174" s="1060"/>
      <c r="AA174" s="1544"/>
      <c r="AB174" s="491"/>
      <c r="AC174" s="491"/>
      <c r="AD174" s="491"/>
      <c r="AE174" s="491"/>
    </row>
    <row r="175" spans="1:31" s="2013" customFormat="1" ht="11.25" customHeight="1">
      <c r="A175" s="895"/>
      <c r="B175" s="1548"/>
      <c r="C175" s="1548"/>
      <c r="D175" s="276"/>
      <c r="K175" s="1060"/>
      <c r="L175" s="1548"/>
      <c r="M175" s="1548"/>
      <c r="N175" s="1060"/>
      <c r="O175" s="1060"/>
      <c r="P175" s="1060"/>
      <c r="Q175" s="1060"/>
      <c r="R175" s="1548"/>
      <c r="S175" s="1060"/>
      <c r="T175" s="1060"/>
      <c r="U175" s="469"/>
      <c r="V175" s="1060"/>
      <c r="W175" s="1060"/>
      <c r="X175" s="1060"/>
      <c r="Y175" s="1060"/>
      <c r="Z175" s="1060"/>
      <c r="AA175" s="1544"/>
      <c r="AB175" s="491"/>
      <c r="AC175" s="491"/>
      <c r="AD175" s="491"/>
      <c r="AE175" s="491"/>
    </row>
    <row r="176" spans="1:31" s="2013" customFormat="1" ht="11.25" customHeight="1">
      <c r="A176" s="895"/>
      <c r="B176" s="1548"/>
      <c r="C176" s="1548"/>
      <c r="D176" s="276"/>
      <c r="K176" s="1060"/>
      <c r="L176" s="1548"/>
      <c r="M176" s="1548"/>
      <c r="N176" s="1060"/>
      <c r="O176" s="1060"/>
      <c r="P176" s="1060"/>
      <c r="Q176" s="1060"/>
      <c r="R176" s="1548"/>
      <c r="S176" s="1060"/>
      <c r="T176" s="1060"/>
      <c r="U176" s="469"/>
      <c r="V176" s="1060"/>
      <c r="W176" s="1060"/>
      <c r="X176" s="1060"/>
      <c r="Y176" s="1060"/>
      <c r="Z176" s="1060"/>
      <c r="AA176" s="1544"/>
      <c r="AB176" s="491"/>
      <c r="AC176" s="491"/>
      <c r="AD176" s="491"/>
      <c r="AE176" s="491"/>
    </row>
    <row r="177" spans="1:31" s="2013" customFormat="1" ht="11.25" customHeight="1">
      <c r="A177" s="895"/>
      <c r="B177" s="1548"/>
      <c r="C177" s="1548"/>
      <c r="D177" s="276"/>
      <c r="K177" s="1060"/>
      <c r="L177" s="1548"/>
      <c r="M177" s="1548"/>
      <c r="N177" s="1060"/>
      <c r="O177" s="1060"/>
      <c r="P177" s="1060"/>
      <c r="Q177" s="1060"/>
      <c r="R177" s="1548"/>
      <c r="S177" s="1060"/>
      <c r="T177" s="1060"/>
      <c r="U177" s="469"/>
      <c r="V177" s="1060"/>
      <c r="W177" s="1060"/>
      <c r="X177" s="1060"/>
      <c r="Y177" s="1060"/>
      <c r="Z177" s="1060"/>
      <c r="AA177" s="1544"/>
      <c r="AB177" s="491"/>
      <c r="AC177" s="491"/>
      <c r="AD177" s="491"/>
      <c r="AE177" s="491"/>
    </row>
    <row r="178" spans="1:31" s="2013" customFormat="1" ht="11.25" customHeight="1">
      <c r="A178" s="895"/>
      <c r="B178" s="1548"/>
      <c r="C178" s="1548"/>
      <c r="D178" s="276"/>
      <c r="K178" s="1060"/>
      <c r="L178" s="1548"/>
      <c r="M178" s="1548"/>
      <c r="N178" s="1060"/>
      <c r="O178" s="1060"/>
      <c r="P178" s="1060"/>
      <c r="Q178" s="1060"/>
      <c r="R178" s="1548"/>
      <c r="S178" s="1060"/>
      <c r="T178" s="1060"/>
      <c r="U178" s="469"/>
      <c r="V178" s="1060"/>
      <c r="W178" s="1060"/>
      <c r="X178" s="1060"/>
      <c r="Y178" s="1060"/>
      <c r="Z178" s="1060"/>
      <c r="AA178" s="1544"/>
      <c r="AB178" s="491"/>
      <c r="AC178" s="491"/>
      <c r="AD178" s="491"/>
      <c r="AE178" s="491"/>
    </row>
    <row r="179" spans="1:31" s="2013" customFormat="1" ht="11.25" customHeight="1">
      <c r="A179" s="895"/>
      <c r="B179" s="1548"/>
      <c r="C179" s="1548"/>
      <c r="D179" s="276"/>
      <c r="K179" s="1060"/>
      <c r="L179" s="1548"/>
      <c r="M179" s="1548"/>
      <c r="N179" s="1060"/>
      <c r="O179" s="1060"/>
      <c r="P179" s="1060"/>
      <c r="Q179" s="1060"/>
      <c r="R179" s="1548"/>
      <c r="S179" s="1060"/>
      <c r="T179" s="1060"/>
      <c r="U179" s="469"/>
      <c r="V179" s="1060"/>
      <c r="W179" s="1060"/>
      <c r="X179" s="1060"/>
      <c r="Y179" s="1060"/>
      <c r="Z179" s="1060"/>
      <c r="AA179" s="1544"/>
      <c r="AB179" s="491"/>
      <c r="AC179" s="491"/>
      <c r="AD179" s="491"/>
      <c r="AE179" s="491"/>
    </row>
    <row r="180" spans="1:31" s="2013" customFormat="1" ht="11.25" customHeight="1">
      <c r="A180" s="895"/>
      <c r="B180" s="1548"/>
      <c r="C180" s="1548"/>
      <c r="D180" s="276"/>
      <c r="K180" s="1060"/>
      <c r="L180" s="1548"/>
      <c r="M180" s="1548"/>
      <c r="N180" s="1060"/>
      <c r="O180" s="1060"/>
      <c r="P180" s="1060"/>
      <c r="Q180" s="1060"/>
      <c r="R180" s="1548"/>
      <c r="S180" s="1060"/>
      <c r="T180" s="1060"/>
      <c r="U180" s="469"/>
      <c r="V180" s="1060"/>
      <c r="W180" s="1060"/>
      <c r="X180" s="1060"/>
      <c r="Y180" s="1060"/>
      <c r="Z180" s="1060"/>
      <c r="AA180" s="1544"/>
      <c r="AB180" s="491"/>
      <c r="AC180" s="491"/>
      <c r="AD180" s="491"/>
      <c r="AE180" s="491"/>
    </row>
    <row r="181" spans="1:31" s="2013" customFormat="1" ht="11.25" customHeight="1">
      <c r="A181" s="895"/>
      <c r="B181" s="1548"/>
      <c r="C181" s="1548"/>
      <c r="D181" s="276"/>
      <c r="K181" s="1060"/>
      <c r="L181" s="1548"/>
      <c r="M181" s="1548"/>
      <c r="N181" s="1060"/>
      <c r="O181" s="1060"/>
      <c r="P181" s="1060"/>
      <c r="Q181" s="1060"/>
      <c r="R181" s="1548"/>
      <c r="S181" s="1060"/>
      <c r="T181" s="1060"/>
      <c r="U181" s="469"/>
      <c r="V181" s="1060"/>
      <c r="W181" s="1060"/>
      <c r="X181" s="1060"/>
      <c r="Y181" s="1060"/>
      <c r="Z181" s="1060"/>
      <c r="AA181" s="1544"/>
      <c r="AB181" s="491"/>
      <c r="AC181" s="491"/>
      <c r="AD181" s="491"/>
      <c r="AE181" s="491"/>
    </row>
    <row r="182" spans="1:31" s="2013" customFormat="1" ht="11.25" customHeight="1">
      <c r="A182" s="895"/>
      <c r="B182" s="1548"/>
      <c r="C182" s="1548"/>
      <c r="D182" s="276"/>
      <c r="K182" s="1060"/>
      <c r="L182" s="1548"/>
      <c r="M182" s="1548"/>
      <c r="N182" s="1060"/>
      <c r="O182" s="1060"/>
      <c r="P182" s="1060"/>
      <c r="Q182" s="1060"/>
      <c r="R182" s="1548"/>
      <c r="S182" s="1060"/>
      <c r="T182" s="1060"/>
      <c r="U182" s="469"/>
      <c r="V182" s="1060"/>
      <c r="W182" s="1060"/>
      <c r="X182" s="1060"/>
      <c r="Y182" s="1060"/>
      <c r="Z182" s="1060"/>
      <c r="AA182" s="1544"/>
      <c r="AB182" s="491"/>
      <c r="AC182" s="491"/>
      <c r="AD182" s="491"/>
      <c r="AE182" s="491"/>
    </row>
    <row r="183" spans="1:31" s="2013" customFormat="1" ht="11.25" customHeight="1">
      <c r="A183" s="895"/>
      <c r="B183" s="1548"/>
      <c r="C183" s="1548"/>
      <c r="D183" s="276"/>
      <c r="K183" s="1060"/>
      <c r="L183" s="1548"/>
      <c r="M183" s="1548"/>
      <c r="N183" s="1060"/>
      <c r="O183" s="1060"/>
      <c r="P183" s="1060"/>
      <c r="Q183" s="1060"/>
      <c r="R183" s="1548"/>
      <c r="S183" s="1060"/>
      <c r="T183" s="1060"/>
      <c r="U183" s="469"/>
      <c r="V183" s="1060"/>
      <c r="W183" s="1060"/>
      <c r="X183" s="1060"/>
      <c r="Y183" s="1060"/>
      <c r="Z183" s="1060"/>
      <c r="AA183" s="1544"/>
      <c r="AB183" s="491"/>
      <c r="AC183" s="491"/>
      <c r="AD183" s="491"/>
      <c r="AE183" s="491"/>
    </row>
    <row r="184" spans="1:31" s="2013" customFormat="1" ht="11.25" customHeight="1">
      <c r="A184" s="895"/>
      <c r="B184" s="1548"/>
      <c r="C184" s="1548"/>
      <c r="D184" s="276"/>
      <c r="K184" s="1060"/>
      <c r="L184" s="1548"/>
      <c r="M184" s="1548"/>
      <c r="N184" s="1060"/>
      <c r="O184" s="1060"/>
      <c r="P184" s="1060"/>
      <c r="Q184" s="1060"/>
      <c r="R184" s="1548"/>
      <c r="S184" s="1060"/>
      <c r="T184" s="1060"/>
      <c r="U184" s="469"/>
      <c r="V184" s="1060"/>
      <c r="W184" s="1060"/>
      <c r="X184" s="1060"/>
      <c r="Y184" s="1060"/>
      <c r="Z184" s="1060"/>
      <c r="AA184" s="1544"/>
      <c r="AB184" s="491"/>
      <c r="AC184" s="491"/>
      <c r="AD184" s="491"/>
      <c r="AE184" s="491"/>
    </row>
    <row r="185" spans="1:31" s="2013" customFormat="1" ht="11.25" customHeight="1">
      <c r="A185" s="895"/>
      <c r="B185" s="1548"/>
      <c r="C185" s="1548"/>
      <c r="D185" s="276"/>
      <c r="K185" s="1060"/>
      <c r="L185" s="1548"/>
      <c r="M185" s="1548"/>
      <c r="N185" s="1060"/>
      <c r="O185" s="1060"/>
      <c r="P185" s="1060"/>
      <c r="Q185" s="1060"/>
      <c r="R185" s="1548"/>
      <c r="S185" s="1060"/>
      <c r="T185" s="1060"/>
      <c r="U185" s="469"/>
      <c r="V185" s="1060"/>
      <c r="W185" s="1060"/>
      <c r="X185" s="1060"/>
      <c r="Y185" s="1060"/>
      <c r="Z185" s="1060"/>
      <c r="AA185" s="1544"/>
      <c r="AB185" s="491"/>
      <c r="AC185" s="491"/>
      <c r="AD185" s="491"/>
      <c r="AE185" s="491"/>
    </row>
    <row r="186" spans="1:31" s="2013" customFormat="1" ht="11.25" customHeight="1">
      <c r="A186" s="895"/>
      <c r="B186" s="1548"/>
      <c r="C186" s="1548"/>
      <c r="D186" s="276"/>
      <c r="K186" s="1060"/>
      <c r="L186" s="1548"/>
      <c r="M186" s="1548"/>
      <c r="N186" s="1060"/>
      <c r="O186" s="1060"/>
      <c r="P186" s="1060"/>
      <c r="Q186" s="1060"/>
      <c r="R186" s="1548"/>
      <c r="S186" s="1060"/>
      <c r="T186" s="1060"/>
      <c r="U186" s="469"/>
      <c r="V186" s="1060"/>
      <c r="W186" s="1060"/>
      <c r="X186" s="1060"/>
      <c r="Y186" s="1060"/>
      <c r="Z186" s="1060"/>
      <c r="AA186" s="1544"/>
      <c r="AB186" s="491"/>
      <c r="AC186" s="491"/>
      <c r="AD186" s="491"/>
      <c r="AE186" s="491"/>
    </row>
    <row r="187" spans="1:31" s="2013" customFormat="1" ht="11.25" customHeight="1">
      <c r="A187" s="895"/>
      <c r="B187" s="1548"/>
      <c r="C187" s="1548"/>
      <c r="D187" s="276"/>
      <c r="K187" s="1060"/>
      <c r="L187" s="1548"/>
      <c r="M187" s="1548"/>
      <c r="N187" s="1060"/>
      <c r="O187" s="1060"/>
      <c r="P187" s="1060"/>
      <c r="Q187" s="1060"/>
      <c r="R187" s="1548"/>
      <c r="S187" s="1060"/>
      <c r="T187" s="1060"/>
      <c r="U187" s="469"/>
      <c r="V187" s="1060"/>
      <c r="W187" s="1060"/>
      <c r="X187" s="1060"/>
      <c r="Y187" s="1060"/>
      <c r="Z187" s="1060"/>
      <c r="AA187" s="1544"/>
      <c r="AB187" s="491"/>
      <c r="AC187" s="491"/>
      <c r="AD187" s="491"/>
      <c r="AE187" s="491"/>
    </row>
    <row r="188" spans="1:31" s="2013" customFormat="1" ht="11.25" customHeight="1">
      <c r="A188" s="895"/>
      <c r="B188" s="1548"/>
      <c r="C188" s="1548"/>
      <c r="D188" s="276"/>
      <c r="K188" s="1060"/>
      <c r="L188" s="1548"/>
      <c r="M188" s="1548"/>
      <c r="N188" s="1060"/>
      <c r="O188" s="1060"/>
      <c r="P188" s="1060"/>
      <c r="Q188" s="1060"/>
      <c r="R188" s="1548"/>
      <c r="S188" s="1060"/>
      <c r="T188" s="1060"/>
      <c r="U188" s="469"/>
      <c r="V188" s="1060"/>
      <c r="W188" s="1060"/>
      <c r="X188" s="1060"/>
      <c r="Y188" s="1060"/>
      <c r="Z188" s="1060"/>
      <c r="AA188" s="1544"/>
      <c r="AB188" s="491"/>
      <c r="AC188" s="491"/>
      <c r="AD188" s="491"/>
      <c r="AE188" s="491"/>
    </row>
    <row r="189" spans="1:31" s="2013" customFormat="1" ht="11.25" customHeight="1">
      <c r="A189" s="895"/>
      <c r="B189" s="1548"/>
      <c r="C189" s="1548"/>
      <c r="D189" s="276"/>
      <c r="K189" s="1060"/>
      <c r="L189" s="1548"/>
      <c r="M189" s="1548"/>
      <c r="N189" s="1060"/>
      <c r="O189" s="1060"/>
      <c r="P189" s="1060"/>
      <c r="Q189" s="1060"/>
      <c r="R189" s="1548"/>
      <c r="S189" s="1060"/>
      <c r="T189" s="1060"/>
      <c r="U189" s="469"/>
      <c r="V189" s="1060"/>
      <c r="W189" s="1060"/>
      <c r="X189" s="1060"/>
      <c r="Y189" s="1060"/>
      <c r="Z189" s="1060"/>
      <c r="AA189" s="1544"/>
      <c r="AB189" s="491"/>
      <c r="AC189" s="491"/>
      <c r="AD189" s="491"/>
      <c r="AE189" s="491"/>
    </row>
    <row r="190" spans="1:31" s="2013" customFormat="1" ht="11.25" customHeight="1">
      <c r="A190" s="895"/>
      <c r="B190" s="1548"/>
      <c r="C190" s="1548"/>
      <c r="D190" s="276"/>
      <c r="K190" s="1060"/>
      <c r="L190" s="1548"/>
      <c r="M190" s="1548"/>
      <c r="N190" s="1060"/>
      <c r="O190" s="1060"/>
      <c r="P190" s="1060"/>
      <c r="Q190" s="1060"/>
      <c r="R190" s="1548"/>
      <c r="S190" s="1060"/>
      <c r="T190" s="1060"/>
      <c r="U190" s="469"/>
      <c r="V190" s="1060"/>
      <c r="W190" s="1060"/>
      <c r="X190" s="1060"/>
      <c r="Y190" s="1060"/>
      <c r="Z190" s="1060"/>
      <c r="AA190" s="1544"/>
      <c r="AB190" s="491"/>
      <c r="AC190" s="491"/>
      <c r="AD190" s="491"/>
      <c r="AE190" s="491"/>
    </row>
    <row r="191" spans="1:31" s="2013" customFormat="1" ht="11.25" customHeight="1">
      <c r="A191" s="895"/>
      <c r="B191" s="1548"/>
      <c r="C191" s="1548"/>
      <c r="D191" s="276"/>
      <c r="K191" s="1060"/>
      <c r="L191" s="1548"/>
      <c r="M191" s="1548"/>
      <c r="N191" s="1060"/>
      <c r="O191" s="1060"/>
      <c r="P191" s="1060"/>
      <c r="Q191" s="1060"/>
      <c r="R191" s="1548"/>
      <c r="S191" s="1060"/>
      <c r="T191" s="1060"/>
      <c r="U191" s="469"/>
      <c r="V191" s="1060"/>
      <c r="W191" s="1060"/>
      <c r="X191" s="1060"/>
      <c r="Y191" s="1060"/>
      <c r="Z191" s="1060"/>
      <c r="AA191" s="1544"/>
      <c r="AB191" s="491"/>
      <c r="AC191" s="491"/>
      <c r="AD191" s="491"/>
      <c r="AE191" s="491"/>
    </row>
    <row r="192" spans="1:31" s="2013" customFormat="1" ht="11.25" customHeight="1">
      <c r="A192" s="895"/>
      <c r="B192" s="1548"/>
      <c r="C192" s="1548"/>
      <c r="D192" s="276"/>
      <c r="K192" s="1060"/>
      <c r="L192" s="1548"/>
      <c r="M192" s="1548"/>
      <c r="N192" s="1060"/>
      <c r="O192" s="1060"/>
      <c r="P192" s="1060"/>
      <c r="Q192" s="1060"/>
      <c r="R192" s="1548"/>
      <c r="S192" s="1060"/>
      <c r="T192" s="1060"/>
      <c r="U192" s="469"/>
      <c r="V192" s="1060"/>
      <c r="W192" s="1060"/>
      <c r="X192" s="1060"/>
      <c r="Y192" s="1060"/>
      <c r="Z192" s="1060"/>
      <c r="AA192" s="1544"/>
      <c r="AB192" s="491"/>
      <c r="AC192" s="491"/>
      <c r="AD192" s="491"/>
      <c r="AE192" s="491"/>
    </row>
    <row r="193" spans="1:31" s="2013" customFormat="1" ht="11.25" customHeight="1">
      <c r="A193" s="895"/>
      <c r="B193" s="1548"/>
      <c r="C193" s="1548"/>
      <c r="D193" s="276"/>
      <c r="K193" s="1060"/>
      <c r="L193" s="1548"/>
      <c r="M193" s="1548"/>
      <c r="N193" s="1060"/>
      <c r="O193" s="1060"/>
      <c r="P193" s="1060"/>
      <c r="Q193" s="1060"/>
      <c r="R193" s="1548"/>
      <c r="S193" s="1060"/>
      <c r="T193" s="1060"/>
      <c r="U193" s="469"/>
      <c r="V193" s="1060"/>
      <c r="W193" s="1060"/>
      <c r="X193" s="1060"/>
      <c r="Y193" s="1060"/>
      <c r="Z193" s="1060"/>
      <c r="AA193" s="1544"/>
      <c r="AB193" s="491"/>
      <c r="AC193" s="491"/>
      <c r="AD193" s="491"/>
      <c r="AE193" s="491"/>
    </row>
    <row r="194" spans="1:31" s="2013" customFormat="1" ht="11.25" customHeight="1">
      <c r="A194" s="895"/>
      <c r="B194" s="1548"/>
      <c r="C194" s="1548"/>
      <c r="D194" s="276"/>
      <c r="K194" s="1060"/>
      <c r="L194" s="1548"/>
      <c r="M194" s="1548"/>
      <c r="N194" s="1060"/>
      <c r="O194" s="1060"/>
      <c r="P194" s="1060"/>
      <c r="Q194" s="1060"/>
      <c r="R194" s="1548"/>
      <c r="S194" s="1060"/>
      <c r="T194" s="1060"/>
      <c r="U194" s="469"/>
      <c r="V194" s="1060"/>
      <c r="W194" s="1060"/>
      <c r="X194" s="1060"/>
      <c r="Y194" s="1060"/>
      <c r="Z194" s="1060"/>
      <c r="AA194" s="1544"/>
      <c r="AB194" s="491"/>
      <c r="AC194" s="491"/>
      <c r="AD194" s="491"/>
      <c r="AE194" s="491"/>
    </row>
    <row r="195" spans="1:31" s="2013" customFormat="1" ht="11.25" customHeight="1">
      <c r="A195" s="895"/>
      <c r="B195" s="1548"/>
      <c r="C195" s="1548"/>
      <c r="D195" s="276"/>
      <c r="K195" s="1060"/>
      <c r="L195" s="1548"/>
      <c r="M195" s="1548"/>
      <c r="N195" s="1060"/>
      <c r="O195" s="1060"/>
      <c r="P195" s="1060"/>
      <c r="Q195" s="1060"/>
      <c r="R195" s="1548"/>
      <c r="S195" s="1060"/>
      <c r="T195" s="1060"/>
      <c r="U195" s="469"/>
      <c r="V195" s="1060"/>
      <c r="W195" s="1060"/>
      <c r="X195" s="1060"/>
      <c r="Y195" s="1060"/>
      <c r="Z195" s="1060"/>
      <c r="AA195" s="1544"/>
      <c r="AB195" s="491"/>
      <c r="AC195" s="491"/>
      <c r="AD195" s="491"/>
      <c r="AE195" s="491"/>
    </row>
    <row r="196" spans="1:31" s="2013" customFormat="1" ht="11.25" customHeight="1">
      <c r="A196" s="895"/>
      <c r="B196" s="1548"/>
      <c r="C196" s="1548"/>
      <c r="D196" s="276"/>
      <c r="K196" s="1060"/>
      <c r="L196" s="1548"/>
      <c r="M196" s="1548"/>
      <c r="N196" s="1060"/>
      <c r="O196" s="1060"/>
      <c r="P196" s="1060"/>
      <c r="Q196" s="1060"/>
      <c r="R196" s="1548"/>
      <c r="S196" s="1060"/>
      <c r="T196" s="1060"/>
      <c r="U196" s="469"/>
      <c r="V196" s="1060"/>
      <c r="W196" s="1060"/>
      <c r="X196" s="1060"/>
      <c r="Y196" s="1060"/>
      <c r="Z196" s="1060"/>
      <c r="AA196" s="1544"/>
      <c r="AB196" s="491"/>
      <c r="AC196" s="491"/>
      <c r="AD196" s="491"/>
      <c r="AE196" s="491"/>
    </row>
    <row r="197" spans="1:31" s="2013" customFormat="1" ht="11.25" customHeight="1">
      <c r="A197" s="895"/>
      <c r="B197" s="1548"/>
      <c r="C197" s="1548"/>
      <c r="D197" s="276"/>
      <c r="K197" s="1060"/>
      <c r="L197" s="1548"/>
      <c r="M197" s="1548"/>
      <c r="N197" s="1060"/>
      <c r="O197" s="1060"/>
      <c r="P197" s="1060"/>
      <c r="Q197" s="1060"/>
      <c r="R197" s="1548"/>
      <c r="S197" s="1060"/>
      <c r="T197" s="1060"/>
      <c r="U197" s="469"/>
      <c r="V197" s="1060"/>
      <c r="W197" s="1060"/>
      <c r="X197" s="1060"/>
      <c r="Y197" s="1060"/>
      <c r="Z197" s="1060"/>
      <c r="AA197" s="1544"/>
      <c r="AB197" s="491"/>
      <c r="AC197" s="491"/>
      <c r="AD197" s="491"/>
      <c r="AE197" s="491"/>
    </row>
    <row r="198" spans="1:31" s="2013" customFormat="1" ht="11.25" customHeight="1">
      <c r="A198" s="895"/>
      <c r="B198" s="1548"/>
      <c r="C198" s="1548"/>
      <c r="D198" s="276"/>
      <c r="K198" s="1060"/>
      <c r="L198" s="1548"/>
      <c r="M198" s="1548"/>
      <c r="N198" s="1060"/>
      <c r="O198" s="1060"/>
      <c r="P198" s="1060"/>
      <c r="Q198" s="1060"/>
      <c r="R198" s="1548"/>
      <c r="S198" s="1060"/>
      <c r="T198" s="1060"/>
      <c r="U198" s="469"/>
      <c r="V198" s="1060"/>
      <c r="W198" s="1060"/>
      <c r="X198" s="1060"/>
      <c r="Y198" s="1060"/>
      <c r="Z198" s="1060"/>
      <c r="AA198" s="1544"/>
      <c r="AB198" s="491"/>
      <c r="AC198" s="491"/>
      <c r="AD198" s="491"/>
      <c r="AE198" s="491"/>
    </row>
    <row r="199" spans="1:31" s="2013" customFormat="1" ht="11.25" customHeight="1">
      <c r="A199" s="895"/>
      <c r="B199" s="1548"/>
      <c r="C199" s="1548"/>
      <c r="D199" s="276"/>
      <c r="K199" s="1060"/>
      <c r="L199" s="1548"/>
      <c r="M199" s="1548"/>
      <c r="N199" s="1060"/>
      <c r="O199" s="1060"/>
      <c r="P199" s="1060"/>
      <c r="Q199" s="1060"/>
      <c r="R199" s="1548"/>
      <c r="S199" s="1060"/>
      <c r="T199" s="1060"/>
      <c r="U199" s="469"/>
      <c r="V199" s="1060"/>
      <c r="W199" s="1060"/>
      <c r="X199" s="1060"/>
      <c r="Y199" s="1060"/>
      <c r="Z199" s="1060"/>
      <c r="AA199" s="1544"/>
      <c r="AB199" s="491"/>
      <c r="AC199" s="491"/>
      <c r="AD199" s="491"/>
      <c r="AE199" s="491"/>
    </row>
    <row r="200" spans="1:31" s="2013" customFormat="1" ht="11.25" customHeight="1">
      <c r="A200" s="895"/>
      <c r="B200" s="1548"/>
      <c r="C200" s="1548"/>
      <c r="D200" s="276"/>
      <c r="K200" s="1060"/>
      <c r="L200" s="1548"/>
      <c r="M200" s="1548"/>
      <c r="N200" s="1060"/>
      <c r="O200" s="1060"/>
      <c r="P200" s="1060"/>
      <c r="Q200" s="1060"/>
      <c r="R200" s="1548"/>
      <c r="S200" s="1060"/>
      <c r="T200" s="1060"/>
      <c r="U200" s="469"/>
      <c r="V200" s="1060"/>
      <c r="W200" s="1060"/>
      <c r="X200" s="1060"/>
      <c r="Y200" s="1060"/>
      <c r="Z200" s="1060"/>
      <c r="AA200" s="1544"/>
      <c r="AB200" s="491"/>
      <c r="AC200" s="491"/>
      <c r="AD200" s="491"/>
      <c r="AE200" s="491"/>
    </row>
    <row r="201" spans="1:31" s="2013" customFormat="1" ht="11.25" customHeight="1">
      <c r="A201" s="895"/>
      <c r="B201" s="1548"/>
      <c r="C201" s="1548"/>
      <c r="D201" s="276"/>
      <c r="K201" s="1060"/>
      <c r="L201" s="1548"/>
      <c r="M201" s="1548"/>
      <c r="N201" s="1060"/>
      <c r="O201" s="1060"/>
      <c r="P201" s="1060"/>
      <c r="Q201" s="1060"/>
      <c r="R201" s="1548"/>
      <c r="S201" s="1060"/>
      <c r="T201" s="1060"/>
      <c r="U201" s="469"/>
      <c r="V201" s="1060"/>
      <c r="W201" s="1060"/>
      <c r="X201" s="1060"/>
      <c r="Y201" s="1060"/>
      <c r="Z201" s="1060"/>
      <c r="AA201" s="1544"/>
      <c r="AB201" s="491"/>
      <c r="AC201" s="491"/>
      <c r="AD201" s="491"/>
      <c r="AE201" s="491"/>
    </row>
    <row r="202" spans="1:31" s="2013" customFormat="1" ht="11.25" customHeight="1">
      <c r="A202" s="895"/>
      <c r="B202" s="1548"/>
      <c r="C202" s="1548"/>
      <c r="D202" s="276"/>
      <c r="K202" s="1060"/>
      <c r="L202" s="1548"/>
      <c r="M202" s="1548"/>
      <c r="N202" s="1060"/>
      <c r="O202" s="1060"/>
      <c r="P202" s="1060"/>
      <c r="Q202" s="1060"/>
      <c r="R202" s="1548"/>
      <c r="S202" s="1060"/>
      <c r="T202" s="1060"/>
      <c r="U202" s="469"/>
      <c r="V202" s="1060"/>
      <c r="W202" s="1060"/>
      <c r="X202" s="1060"/>
      <c r="Y202" s="1060"/>
      <c r="Z202" s="1060"/>
      <c r="AA202" s="1544"/>
      <c r="AB202" s="491"/>
      <c r="AC202" s="491"/>
      <c r="AD202" s="491"/>
      <c r="AE202" s="491"/>
    </row>
    <row r="203" spans="1:31" s="2013" customFormat="1" ht="11.25" customHeight="1">
      <c r="A203" s="895"/>
      <c r="B203" s="1548"/>
      <c r="C203" s="1548"/>
      <c r="D203" s="276"/>
      <c r="K203" s="1060"/>
      <c r="L203" s="1548"/>
      <c r="M203" s="1548"/>
      <c r="N203" s="1060"/>
      <c r="O203" s="1060"/>
      <c r="P203" s="1060"/>
      <c r="Q203" s="1060"/>
      <c r="R203" s="1548"/>
      <c r="S203" s="1060"/>
      <c r="T203" s="1060"/>
      <c r="U203" s="469"/>
      <c r="V203" s="1060"/>
      <c r="W203" s="1060"/>
      <c r="X203" s="1060"/>
      <c r="Y203" s="1060"/>
      <c r="Z203" s="1060"/>
      <c r="AA203" s="1544"/>
      <c r="AB203" s="491"/>
      <c r="AC203" s="491"/>
      <c r="AD203" s="491"/>
      <c r="AE203" s="491"/>
    </row>
    <row r="204" spans="1:31" s="2013" customFormat="1" ht="11.25" customHeight="1">
      <c r="A204" s="895"/>
      <c r="B204" s="1548"/>
      <c r="C204" s="1548"/>
      <c r="D204" s="276"/>
      <c r="K204" s="1060"/>
      <c r="L204" s="1548"/>
      <c r="M204" s="1548"/>
      <c r="N204" s="1060"/>
      <c r="O204" s="1060"/>
      <c r="P204" s="1060"/>
      <c r="Q204" s="1060"/>
      <c r="R204" s="1548"/>
      <c r="S204" s="1060"/>
      <c r="T204" s="1060"/>
      <c r="U204" s="469"/>
      <c r="V204" s="1060"/>
      <c r="W204" s="1060"/>
      <c r="X204" s="1060"/>
      <c r="Y204" s="1060"/>
      <c r="Z204" s="1060"/>
      <c r="AA204" s="1544"/>
      <c r="AB204" s="491"/>
      <c r="AC204" s="491"/>
      <c r="AD204" s="491"/>
      <c r="AE204" s="491"/>
    </row>
    <row r="205" spans="1:31" s="2013" customFormat="1" ht="11.25" customHeight="1">
      <c r="A205" s="895"/>
      <c r="B205" s="1548"/>
      <c r="C205" s="1548"/>
      <c r="D205" s="276"/>
      <c r="K205" s="1060"/>
      <c r="L205" s="1548"/>
      <c r="M205" s="1548"/>
      <c r="N205" s="1060"/>
      <c r="O205" s="1060"/>
      <c r="P205" s="1060"/>
      <c r="Q205" s="1060"/>
      <c r="R205" s="1548"/>
      <c r="S205" s="1060"/>
      <c r="T205" s="1060"/>
      <c r="U205" s="469"/>
      <c r="V205" s="1060"/>
      <c r="W205" s="1060"/>
      <c r="X205" s="1060"/>
      <c r="Y205" s="1060"/>
      <c r="Z205" s="1060"/>
      <c r="AA205" s="1544"/>
      <c r="AB205" s="491"/>
      <c r="AC205" s="491"/>
      <c r="AD205" s="491"/>
      <c r="AE205" s="491"/>
    </row>
    <row r="206" spans="1:31" s="2013" customFormat="1" ht="11.25" customHeight="1">
      <c r="A206" s="895"/>
      <c r="B206" s="1548"/>
      <c r="C206" s="1548"/>
      <c r="D206" s="276"/>
      <c r="K206" s="1060"/>
      <c r="L206" s="1548"/>
      <c r="M206" s="1548"/>
      <c r="N206" s="1060"/>
      <c r="O206" s="1060"/>
      <c r="P206" s="1060"/>
      <c r="Q206" s="1060"/>
      <c r="R206" s="1548"/>
      <c r="S206" s="1060"/>
      <c r="T206" s="1060"/>
      <c r="U206" s="469"/>
      <c r="V206" s="1060"/>
      <c r="W206" s="1060"/>
      <c r="X206" s="1060"/>
      <c r="Y206" s="1060"/>
      <c r="Z206" s="1060"/>
      <c r="AA206" s="1544"/>
      <c r="AB206" s="491"/>
      <c r="AC206" s="491"/>
      <c r="AD206" s="491"/>
      <c r="AE206" s="491"/>
    </row>
    <row r="207" spans="1:31" s="2013" customFormat="1" ht="11.25" customHeight="1">
      <c r="A207" s="895"/>
      <c r="B207" s="1548"/>
      <c r="C207" s="1548"/>
      <c r="D207" s="276"/>
      <c r="K207" s="1060"/>
      <c r="L207" s="1548"/>
      <c r="M207" s="1548"/>
      <c r="N207" s="1060"/>
      <c r="O207" s="1060"/>
      <c r="P207" s="1060"/>
      <c r="Q207" s="1060"/>
      <c r="R207" s="1548"/>
      <c r="S207" s="1060"/>
      <c r="T207" s="1060"/>
      <c r="U207" s="469"/>
      <c r="V207" s="1060"/>
      <c r="W207" s="1060"/>
      <c r="X207" s="1060"/>
      <c r="Y207" s="1060"/>
      <c r="Z207" s="1060"/>
      <c r="AA207" s="1544"/>
      <c r="AB207" s="491"/>
      <c r="AC207" s="491"/>
      <c r="AD207" s="491"/>
      <c r="AE207" s="491"/>
    </row>
    <row r="208" spans="1:31" s="2013" customFormat="1" ht="11.25" customHeight="1">
      <c r="A208" s="895"/>
      <c r="B208" s="1548"/>
      <c r="C208" s="1548"/>
      <c r="D208" s="276"/>
      <c r="K208" s="1060"/>
      <c r="L208" s="1548"/>
      <c r="M208" s="1548"/>
      <c r="N208" s="1060"/>
      <c r="O208" s="1060"/>
      <c r="P208" s="1060"/>
      <c r="Q208" s="1060"/>
      <c r="R208" s="1548"/>
      <c r="S208" s="1060"/>
      <c r="T208" s="1060"/>
      <c r="U208" s="469"/>
      <c r="V208" s="1060"/>
      <c r="W208" s="1060"/>
      <c r="X208" s="1060"/>
      <c r="Y208" s="1060"/>
      <c r="Z208" s="1060"/>
      <c r="AA208" s="1544"/>
      <c r="AB208" s="491"/>
      <c r="AC208" s="491"/>
      <c r="AD208" s="491"/>
      <c r="AE208" s="491"/>
    </row>
    <row r="209" spans="1:31" s="2013" customFormat="1" ht="11.25" customHeight="1">
      <c r="A209" s="895"/>
      <c r="B209" s="1548"/>
      <c r="C209" s="1548"/>
      <c r="D209" s="276"/>
      <c r="K209" s="1060"/>
      <c r="L209" s="1548"/>
      <c r="M209" s="1548"/>
      <c r="N209" s="1060"/>
      <c r="O209" s="1060"/>
      <c r="P209" s="1060"/>
      <c r="Q209" s="1060"/>
      <c r="R209" s="1548"/>
      <c r="S209" s="1060"/>
      <c r="T209" s="1060"/>
      <c r="U209" s="469"/>
      <c r="V209" s="1060"/>
      <c r="W209" s="1060"/>
      <c r="X209" s="1060"/>
      <c r="Y209" s="1060"/>
      <c r="Z209" s="1060"/>
      <c r="AA209" s="1544"/>
      <c r="AB209" s="491"/>
      <c r="AC209" s="491"/>
      <c r="AD209" s="491"/>
      <c r="AE209" s="491"/>
    </row>
    <row r="210" spans="1:31" s="2013" customFormat="1" ht="11.25" customHeight="1">
      <c r="A210" s="895"/>
      <c r="B210" s="1548"/>
      <c r="C210" s="1548"/>
      <c r="D210" s="276"/>
      <c r="K210" s="1060"/>
      <c r="L210" s="1548"/>
      <c r="M210" s="1548"/>
      <c r="N210" s="1060"/>
      <c r="O210" s="1060"/>
      <c r="P210" s="1060"/>
      <c r="Q210" s="1060"/>
      <c r="R210" s="1548"/>
      <c r="S210" s="1060"/>
      <c r="T210" s="1060"/>
      <c r="U210" s="469"/>
      <c r="V210" s="1060"/>
      <c r="W210" s="1060"/>
      <c r="X210" s="1060"/>
      <c r="Y210" s="1060"/>
      <c r="Z210" s="1060"/>
      <c r="AA210" s="1544"/>
      <c r="AB210" s="491"/>
      <c r="AC210" s="491"/>
      <c r="AD210" s="491"/>
      <c r="AE210" s="491"/>
    </row>
    <row r="211" spans="1:31" s="2013" customFormat="1" ht="11.25" customHeight="1">
      <c r="A211" s="895"/>
      <c r="B211" s="1548"/>
      <c r="C211" s="1548"/>
      <c r="D211" s="276"/>
      <c r="K211" s="1060"/>
      <c r="L211" s="1548"/>
      <c r="M211" s="1548"/>
      <c r="N211" s="1060"/>
      <c r="O211" s="1060"/>
      <c r="P211" s="1060"/>
      <c r="Q211" s="1060"/>
      <c r="R211" s="1548"/>
      <c r="S211" s="1060"/>
      <c r="T211" s="1060"/>
      <c r="U211" s="469"/>
      <c r="V211" s="1060"/>
      <c r="W211" s="1060"/>
      <c r="X211" s="1060"/>
      <c r="Y211" s="1060"/>
      <c r="Z211" s="1060"/>
      <c r="AA211" s="1544"/>
      <c r="AB211" s="491"/>
      <c r="AC211" s="491"/>
      <c r="AD211" s="491"/>
      <c r="AE211" s="491"/>
    </row>
    <row r="212" spans="1:31" s="2013" customFormat="1" ht="11.25" customHeight="1">
      <c r="A212" s="895"/>
      <c r="B212" s="1548"/>
      <c r="C212" s="1548"/>
      <c r="D212" s="276"/>
      <c r="K212" s="1060"/>
      <c r="L212" s="1548"/>
      <c r="M212" s="1548"/>
      <c r="N212" s="1060"/>
      <c r="O212" s="1060"/>
      <c r="P212" s="1060"/>
      <c r="Q212" s="1060"/>
      <c r="R212" s="1548"/>
      <c r="S212" s="1060"/>
      <c r="T212" s="1060"/>
      <c r="U212" s="469"/>
      <c r="V212" s="1060"/>
      <c r="W212" s="1060"/>
      <c r="X212" s="1060"/>
      <c r="Y212" s="1060"/>
      <c r="Z212" s="1060"/>
      <c r="AA212" s="1544"/>
      <c r="AB212" s="491"/>
      <c r="AC212" s="491"/>
      <c r="AD212" s="491"/>
      <c r="AE212" s="491"/>
    </row>
    <row r="213" spans="1:31" s="2013" customFormat="1" ht="11.25" customHeight="1">
      <c r="A213" s="895"/>
      <c r="B213" s="1548"/>
      <c r="C213" s="1548"/>
      <c r="D213" s="276"/>
      <c r="K213" s="1060"/>
      <c r="L213" s="1548"/>
      <c r="M213" s="1548"/>
      <c r="N213" s="1060"/>
      <c r="O213" s="1060"/>
      <c r="P213" s="1060"/>
      <c r="Q213" s="1060"/>
      <c r="R213" s="1548"/>
      <c r="S213" s="1060"/>
      <c r="T213" s="1060"/>
      <c r="U213" s="469"/>
      <c r="V213" s="1060"/>
      <c r="W213" s="1060"/>
      <c r="X213" s="1060"/>
      <c r="Y213" s="1060"/>
      <c r="Z213" s="1060"/>
      <c r="AA213" s="1544"/>
      <c r="AB213" s="491"/>
      <c r="AC213" s="491"/>
      <c r="AD213" s="491"/>
      <c r="AE213" s="491"/>
    </row>
    <row r="214" spans="1:31" s="2013" customFormat="1" ht="11.25" customHeight="1">
      <c r="A214" s="895"/>
      <c r="B214" s="1548"/>
      <c r="C214" s="1548"/>
      <c r="D214" s="276"/>
      <c r="K214" s="1060"/>
      <c r="L214" s="1548"/>
      <c r="M214" s="1548"/>
      <c r="N214" s="1060"/>
      <c r="O214" s="1060"/>
      <c r="P214" s="1060"/>
      <c r="Q214" s="1060"/>
      <c r="R214" s="1548"/>
      <c r="S214" s="1060"/>
      <c r="T214" s="1060"/>
      <c r="U214" s="469"/>
      <c r="V214" s="1060"/>
      <c r="W214" s="1060"/>
      <c r="X214" s="1060"/>
      <c r="Y214" s="1060"/>
      <c r="Z214" s="1060"/>
      <c r="AA214" s="1544"/>
      <c r="AB214" s="491"/>
      <c r="AC214" s="491"/>
      <c r="AD214" s="491"/>
      <c r="AE214" s="491"/>
    </row>
    <row r="215" spans="1:31" s="2013" customFormat="1" ht="11.25" customHeight="1">
      <c r="A215" s="895"/>
      <c r="B215" s="1548"/>
      <c r="C215" s="1548"/>
      <c r="D215" s="276"/>
      <c r="K215" s="1060"/>
      <c r="L215" s="1548"/>
      <c r="M215" s="1548"/>
      <c r="N215" s="1060"/>
      <c r="O215" s="1060"/>
      <c r="P215" s="1060"/>
      <c r="Q215" s="1060"/>
      <c r="R215" s="1548"/>
      <c r="S215" s="1060"/>
      <c r="T215" s="1060"/>
      <c r="U215" s="469"/>
      <c r="V215" s="1060"/>
      <c r="W215" s="1060"/>
      <c r="X215" s="1060"/>
      <c r="Y215" s="1060"/>
      <c r="Z215" s="1060"/>
      <c r="AA215" s="1544"/>
      <c r="AB215" s="491"/>
      <c r="AC215" s="491"/>
      <c r="AD215" s="491"/>
      <c r="AE215" s="491"/>
    </row>
    <row r="216" spans="1:31" s="2013" customFormat="1" ht="11.25" customHeight="1">
      <c r="A216" s="895"/>
      <c r="B216" s="1548"/>
      <c r="C216" s="1548"/>
      <c r="D216" s="276"/>
      <c r="K216" s="1060"/>
      <c r="L216" s="1548"/>
      <c r="M216" s="1548"/>
      <c r="N216" s="1060"/>
      <c r="O216" s="1060"/>
      <c r="P216" s="1060"/>
      <c r="Q216" s="1060"/>
      <c r="R216" s="1548"/>
      <c r="S216" s="1060"/>
      <c r="T216" s="1060"/>
      <c r="U216" s="469"/>
      <c r="V216" s="1060"/>
      <c r="W216" s="1060"/>
      <c r="X216" s="1060"/>
      <c r="Y216" s="1060"/>
      <c r="Z216" s="1060"/>
      <c r="AA216" s="1544"/>
      <c r="AB216" s="491"/>
      <c r="AC216" s="491"/>
      <c r="AD216" s="491"/>
      <c r="AE216" s="491"/>
    </row>
    <row r="217" spans="1:31" s="2013" customFormat="1" ht="11.25" customHeight="1">
      <c r="A217" s="895"/>
      <c r="B217" s="1548"/>
      <c r="C217" s="1548"/>
      <c r="D217" s="276"/>
      <c r="K217" s="1060"/>
      <c r="L217" s="1548"/>
      <c r="M217" s="1548"/>
      <c r="N217" s="1060"/>
      <c r="O217" s="1060"/>
      <c r="P217" s="1060"/>
      <c r="Q217" s="1060"/>
      <c r="R217" s="1548"/>
      <c r="S217" s="1060"/>
      <c r="T217" s="1060"/>
      <c r="U217" s="469"/>
      <c r="V217" s="1060"/>
      <c r="W217" s="1060"/>
      <c r="X217" s="1060"/>
      <c r="Y217" s="1060"/>
      <c r="Z217" s="1060"/>
      <c r="AA217" s="1544"/>
      <c r="AB217" s="491"/>
      <c r="AC217" s="491"/>
      <c r="AD217" s="491"/>
      <c r="AE217" s="491"/>
    </row>
    <row r="218" spans="1:31" s="2013" customFormat="1" ht="11.25" customHeight="1">
      <c r="A218" s="895"/>
      <c r="B218" s="1548"/>
      <c r="C218" s="1548"/>
      <c r="D218" s="276"/>
      <c r="K218" s="1060"/>
      <c r="L218" s="1548"/>
      <c r="M218" s="1548"/>
      <c r="N218" s="1060"/>
      <c r="O218" s="1060"/>
      <c r="P218" s="1060"/>
      <c r="Q218" s="1060"/>
      <c r="R218" s="1548"/>
      <c r="S218" s="1060"/>
      <c r="T218" s="1060"/>
      <c r="U218" s="469"/>
      <c r="V218" s="1060"/>
      <c r="W218" s="1060"/>
      <c r="X218" s="1060"/>
      <c r="Y218" s="1060"/>
      <c r="Z218" s="1060"/>
      <c r="AA218" s="1544"/>
      <c r="AB218" s="491"/>
      <c r="AC218" s="491"/>
      <c r="AD218" s="491"/>
      <c r="AE218" s="491"/>
    </row>
    <row r="219" spans="1:31" s="2013" customFormat="1" ht="11.25" customHeight="1">
      <c r="A219" s="895"/>
      <c r="B219" s="1548"/>
      <c r="C219" s="1548"/>
      <c r="D219" s="276"/>
      <c r="K219" s="1060"/>
      <c r="L219" s="1548"/>
      <c r="M219" s="1548"/>
      <c r="N219" s="1060"/>
      <c r="O219" s="1060"/>
      <c r="P219" s="1060"/>
      <c r="Q219" s="1060"/>
      <c r="R219" s="1548"/>
      <c r="S219" s="1060"/>
      <c r="T219" s="1060"/>
      <c r="U219" s="469"/>
      <c r="V219" s="1060"/>
      <c r="W219" s="1060"/>
      <c r="X219" s="1060"/>
      <c r="Y219" s="1060"/>
      <c r="Z219" s="1060"/>
      <c r="AA219" s="1544"/>
      <c r="AB219" s="491"/>
      <c r="AC219" s="491"/>
      <c r="AD219" s="491"/>
      <c r="AE219" s="491"/>
    </row>
    <row r="220" spans="1:31" s="2013" customFormat="1" ht="11.25" customHeight="1">
      <c r="A220" s="895"/>
      <c r="B220" s="1548"/>
      <c r="C220" s="1548"/>
      <c r="D220" s="276"/>
      <c r="K220" s="1060"/>
      <c r="L220" s="1548"/>
      <c r="M220" s="1548"/>
      <c r="N220" s="1060"/>
      <c r="O220" s="1060"/>
      <c r="P220" s="1060"/>
      <c r="Q220" s="1060"/>
      <c r="R220" s="1548"/>
      <c r="S220" s="1060"/>
      <c r="T220" s="1060"/>
      <c r="U220" s="469"/>
      <c r="V220" s="1060"/>
      <c r="W220" s="1060"/>
      <c r="X220" s="1060"/>
      <c r="Y220" s="1060"/>
      <c r="Z220" s="1060"/>
      <c r="AA220" s="1544"/>
      <c r="AB220" s="491"/>
      <c r="AC220" s="491"/>
      <c r="AD220" s="491"/>
      <c r="AE220" s="491"/>
    </row>
    <row r="221" spans="1:31" s="2013" customFormat="1" ht="11.25" customHeight="1">
      <c r="A221" s="895"/>
      <c r="B221" s="1548"/>
      <c r="C221" s="1548"/>
      <c r="D221" s="276"/>
      <c r="K221" s="1060"/>
      <c r="L221" s="1548"/>
      <c r="M221" s="1548"/>
      <c r="N221" s="1060"/>
      <c r="O221" s="1060"/>
      <c r="P221" s="1060"/>
      <c r="Q221" s="1060"/>
      <c r="R221" s="1548"/>
      <c r="S221" s="1060"/>
      <c r="T221" s="1060"/>
      <c r="U221" s="469"/>
      <c r="V221" s="1060"/>
      <c r="W221" s="1060"/>
      <c r="X221" s="1060"/>
      <c r="Y221" s="1060"/>
      <c r="Z221" s="1060"/>
      <c r="AA221" s="1544"/>
      <c r="AB221" s="491"/>
      <c r="AC221" s="491"/>
      <c r="AD221" s="491"/>
      <c r="AE221" s="491"/>
    </row>
    <row r="222" spans="1:31" s="2013" customFormat="1" ht="11.25" customHeight="1">
      <c r="A222" s="895"/>
      <c r="B222" s="1548"/>
      <c r="C222" s="1548"/>
      <c r="D222" s="276"/>
      <c r="K222" s="1060"/>
      <c r="L222" s="1548"/>
      <c r="M222" s="1548"/>
      <c r="N222" s="1060"/>
      <c r="O222" s="1060"/>
      <c r="P222" s="1060"/>
      <c r="Q222" s="1060"/>
      <c r="R222" s="1548"/>
      <c r="S222" s="1060"/>
      <c r="T222" s="1060"/>
      <c r="U222" s="469"/>
      <c r="V222" s="1060"/>
      <c r="W222" s="1060"/>
      <c r="X222" s="1060"/>
      <c r="Y222" s="1060"/>
      <c r="Z222" s="1060"/>
      <c r="AA222" s="1544"/>
      <c r="AB222" s="491"/>
      <c r="AC222" s="491"/>
      <c r="AD222" s="491"/>
      <c r="AE222" s="491"/>
    </row>
    <row r="223" spans="1:31" s="2013" customFormat="1" ht="11.25" customHeight="1">
      <c r="A223" s="895"/>
      <c r="B223" s="1548"/>
      <c r="C223" s="1548"/>
      <c r="D223" s="276"/>
      <c r="K223" s="1060"/>
      <c r="L223" s="1548"/>
      <c r="M223" s="1548"/>
      <c r="N223" s="1060"/>
      <c r="O223" s="1060"/>
      <c r="P223" s="1060"/>
      <c r="Q223" s="1060"/>
      <c r="R223" s="1548"/>
      <c r="S223" s="1060"/>
      <c r="T223" s="1060"/>
      <c r="U223" s="469"/>
      <c r="V223" s="1060"/>
      <c r="W223" s="1060"/>
      <c r="X223" s="1060"/>
      <c r="Y223" s="1060"/>
      <c r="Z223" s="1060"/>
      <c r="AA223" s="1544"/>
      <c r="AB223" s="491"/>
      <c r="AC223" s="491"/>
      <c r="AD223" s="491"/>
      <c r="AE223" s="491"/>
    </row>
    <row r="224" spans="1:31" s="2013" customFormat="1" ht="11.25" customHeight="1">
      <c r="A224" s="895"/>
      <c r="B224" s="1548"/>
      <c r="C224" s="1548"/>
      <c r="D224" s="276"/>
      <c r="K224" s="1060"/>
      <c r="L224" s="1548"/>
      <c r="M224" s="1548"/>
      <c r="N224" s="1060"/>
      <c r="O224" s="1060"/>
      <c r="P224" s="1060"/>
      <c r="Q224" s="1060"/>
      <c r="R224" s="1548"/>
      <c r="S224" s="1060"/>
      <c r="T224" s="1060"/>
      <c r="U224" s="469"/>
      <c r="V224" s="1060"/>
      <c r="W224" s="1060"/>
      <c r="X224" s="1060"/>
      <c r="Y224" s="1060"/>
      <c r="Z224" s="1060"/>
      <c r="AA224" s="1544"/>
      <c r="AB224" s="491"/>
      <c r="AC224" s="491"/>
      <c r="AD224" s="491"/>
      <c r="AE224" s="491"/>
    </row>
    <row r="225" spans="1:31" s="2013" customFormat="1" ht="11.25" customHeight="1">
      <c r="A225" s="895"/>
      <c r="B225" s="1548"/>
      <c r="C225" s="1548"/>
      <c r="D225" s="276"/>
      <c r="K225" s="1060"/>
      <c r="L225" s="1548"/>
      <c r="M225" s="1548"/>
      <c r="N225" s="1060"/>
      <c r="O225" s="1060"/>
      <c r="P225" s="1060"/>
      <c r="Q225" s="1060"/>
      <c r="R225" s="1548"/>
      <c r="S225" s="1060"/>
      <c r="T225" s="1060"/>
      <c r="U225" s="469"/>
      <c r="V225" s="1060"/>
      <c r="W225" s="1060"/>
      <c r="X225" s="1060"/>
      <c r="Y225" s="1060"/>
      <c r="Z225" s="1060"/>
      <c r="AA225" s="1544"/>
      <c r="AB225" s="491"/>
      <c r="AC225" s="491"/>
      <c r="AD225" s="491"/>
      <c r="AE225" s="491"/>
    </row>
    <row r="226" spans="1:31" s="2013" customFormat="1" ht="11.25" customHeight="1">
      <c r="A226" s="895"/>
      <c r="B226" s="1548"/>
      <c r="C226" s="1548"/>
      <c r="D226" s="276"/>
      <c r="K226" s="1060"/>
      <c r="L226" s="1548"/>
      <c r="M226" s="1548"/>
      <c r="N226" s="1060"/>
      <c r="O226" s="1060"/>
      <c r="P226" s="1060"/>
      <c r="Q226" s="1060"/>
      <c r="R226" s="1548"/>
      <c r="S226" s="1060"/>
      <c r="T226" s="1060"/>
      <c r="U226" s="469"/>
      <c r="V226" s="1060"/>
      <c r="W226" s="1060"/>
      <c r="X226" s="1060"/>
      <c r="Y226" s="1060"/>
      <c r="Z226" s="1060"/>
      <c r="AA226" s="1544"/>
      <c r="AB226" s="491"/>
      <c r="AC226" s="491"/>
      <c r="AD226" s="491"/>
      <c r="AE226" s="491"/>
    </row>
    <row r="227" spans="1:31" s="2013" customFormat="1" ht="11.25" customHeight="1">
      <c r="A227" s="895"/>
      <c r="B227" s="1548"/>
      <c r="C227" s="1548"/>
      <c r="D227" s="276"/>
      <c r="K227" s="1060"/>
      <c r="L227" s="1548"/>
      <c r="M227" s="1548"/>
      <c r="N227" s="1060"/>
      <c r="O227" s="1060"/>
      <c r="P227" s="1060"/>
      <c r="Q227" s="1060"/>
      <c r="R227" s="1548"/>
      <c r="S227" s="1060"/>
      <c r="T227" s="1060"/>
      <c r="U227" s="469"/>
      <c r="V227" s="1060"/>
      <c r="W227" s="1060"/>
      <c r="X227" s="1060"/>
      <c r="Y227" s="1060"/>
      <c r="Z227" s="1060"/>
      <c r="AA227" s="1544"/>
      <c r="AB227" s="491"/>
      <c r="AC227" s="491"/>
      <c r="AD227" s="491"/>
      <c r="AE227" s="491"/>
    </row>
    <row r="228" spans="1:31" s="2013" customFormat="1" ht="11.25" customHeight="1">
      <c r="A228" s="895"/>
      <c r="B228" s="1548"/>
      <c r="C228" s="1548"/>
      <c r="D228" s="276"/>
      <c r="K228" s="1060"/>
      <c r="L228" s="1548"/>
      <c r="M228" s="1548"/>
      <c r="N228" s="1060"/>
      <c r="O228" s="1060"/>
      <c r="P228" s="1060"/>
      <c r="Q228" s="1060"/>
      <c r="R228" s="1548"/>
      <c r="S228" s="1060"/>
      <c r="T228" s="1060"/>
      <c r="U228" s="469"/>
      <c r="V228" s="1060"/>
      <c r="W228" s="1060"/>
      <c r="X228" s="1060"/>
      <c r="Y228" s="1060"/>
      <c r="Z228" s="1060"/>
      <c r="AA228" s="1544"/>
      <c r="AB228" s="491"/>
      <c r="AC228" s="491"/>
      <c r="AD228" s="491"/>
      <c r="AE228" s="491"/>
    </row>
    <row r="229" spans="1:31" s="2013" customFormat="1" ht="11.25" customHeight="1">
      <c r="A229" s="895"/>
      <c r="B229" s="1548"/>
      <c r="C229" s="1548"/>
      <c r="D229" s="276"/>
      <c r="K229" s="1060"/>
      <c r="L229" s="1548"/>
      <c r="M229" s="1548"/>
      <c r="N229" s="1060"/>
      <c r="O229" s="1060"/>
      <c r="P229" s="1060"/>
      <c r="Q229" s="1060"/>
      <c r="R229" s="1548"/>
      <c r="S229" s="1060"/>
      <c r="T229" s="1060"/>
      <c r="U229" s="469"/>
      <c r="V229" s="1060"/>
      <c r="W229" s="1060"/>
      <c r="X229" s="1060"/>
      <c r="Y229" s="1060"/>
      <c r="Z229" s="1060"/>
      <c r="AA229" s="1544"/>
      <c r="AB229" s="491"/>
      <c r="AC229" s="491"/>
      <c r="AD229" s="491"/>
      <c r="AE229" s="491"/>
    </row>
    <row r="230" spans="1:31" s="2013" customFormat="1" ht="11.25" customHeight="1">
      <c r="A230" s="895"/>
      <c r="B230" s="1548"/>
      <c r="C230" s="1548"/>
      <c r="D230" s="276"/>
      <c r="K230" s="1060"/>
      <c r="L230" s="1548"/>
      <c r="M230" s="1548"/>
      <c r="N230" s="1060"/>
      <c r="O230" s="1060"/>
      <c r="P230" s="1060"/>
      <c r="Q230" s="1060"/>
      <c r="R230" s="1548"/>
      <c r="S230" s="1060"/>
      <c r="T230" s="1060"/>
      <c r="U230" s="469"/>
      <c r="V230" s="1060"/>
      <c r="W230" s="1060"/>
      <c r="X230" s="1060"/>
      <c r="Y230" s="1060"/>
      <c r="Z230" s="1060"/>
      <c r="AA230" s="1544"/>
      <c r="AB230" s="491"/>
      <c r="AC230" s="491"/>
      <c r="AD230" s="491"/>
      <c r="AE230" s="491"/>
    </row>
    <row r="231" spans="1:31" s="2013" customFormat="1" ht="11.25" customHeight="1">
      <c r="A231" s="895"/>
      <c r="B231" s="1548"/>
      <c r="C231" s="1548"/>
      <c r="D231" s="276"/>
      <c r="K231" s="1060"/>
      <c r="L231" s="1548"/>
      <c r="M231" s="1548"/>
      <c r="N231" s="1060"/>
      <c r="O231" s="1060"/>
      <c r="P231" s="1060"/>
      <c r="Q231" s="1060"/>
      <c r="R231" s="1548"/>
      <c r="S231" s="1060"/>
      <c r="T231" s="1060"/>
      <c r="U231" s="469"/>
      <c r="V231" s="1060"/>
      <c r="W231" s="1060"/>
      <c r="X231" s="1060"/>
      <c r="Y231" s="1060"/>
      <c r="Z231" s="1060"/>
      <c r="AA231" s="1544"/>
      <c r="AB231" s="491"/>
      <c r="AC231" s="491"/>
      <c r="AD231" s="491"/>
      <c r="AE231" s="491"/>
    </row>
    <row r="232" spans="1:31" s="2013" customFormat="1" ht="11.25" customHeight="1">
      <c r="A232" s="895"/>
      <c r="B232" s="1548"/>
      <c r="C232" s="1548"/>
      <c r="D232" s="276"/>
      <c r="K232" s="1060"/>
      <c r="L232" s="1548"/>
      <c r="M232" s="1548"/>
      <c r="N232" s="1060"/>
      <c r="O232" s="1060"/>
      <c r="P232" s="1060"/>
      <c r="Q232" s="1060"/>
      <c r="R232" s="1548"/>
      <c r="S232" s="1060"/>
      <c r="T232" s="1060"/>
      <c r="U232" s="469"/>
      <c r="V232" s="1060"/>
      <c r="W232" s="1060"/>
      <c r="X232" s="1060"/>
      <c r="Y232" s="1060"/>
      <c r="Z232" s="1060"/>
      <c r="AA232" s="1544"/>
      <c r="AB232" s="491"/>
      <c r="AC232" s="491"/>
      <c r="AD232" s="491"/>
      <c r="AE232" s="491"/>
    </row>
    <row r="233" spans="1:31" s="2013" customFormat="1" ht="11.25" customHeight="1">
      <c r="A233" s="895"/>
      <c r="B233" s="1548"/>
      <c r="C233" s="1548"/>
      <c r="D233" s="276"/>
      <c r="K233" s="1060"/>
      <c r="L233" s="1548"/>
      <c r="M233" s="1548"/>
      <c r="N233" s="1060"/>
      <c r="O233" s="1060"/>
      <c r="P233" s="1060"/>
      <c r="Q233" s="1060"/>
      <c r="R233" s="1548"/>
      <c r="S233" s="1060"/>
      <c r="T233" s="1060"/>
      <c r="U233" s="469"/>
      <c r="V233" s="1060"/>
      <c r="W233" s="1060"/>
      <c r="X233" s="1060"/>
      <c r="Y233" s="1060"/>
      <c r="Z233" s="1060"/>
      <c r="AA233" s="1544"/>
      <c r="AB233" s="491"/>
      <c r="AC233" s="491"/>
      <c r="AD233" s="491"/>
      <c r="AE233" s="491"/>
    </row>
    <row r="234" spans="1:31" s="2013" customFormat="1" ht="11.25" customHeight="1">
      <c r="A234" s="895"/>
      <c r="B234" s="1548"/>
      <c r="C234" s="1548"/>
      <c r="D234" s="276"/>
      <c r="K234" s="1060"/>
      <c r="L234" s="1548"/>
      <c r="M234" s="1548"/>
      <c r="N234" s="1060"/>
      <c r="O234" s="1060"/>
      <c r="P234" s="1060"/>
      <c r="Q234" s="1060"/>
      <c r="R234" s="1548"/>
      <c r="S234" s="1060"/>
      <c r="T234" s="1060"/>
      <c r="U234" s="469"/>
      <c r="V234" s="1060"/>
      <c r="W234" s="1060"/>
      <c r="X234" s="1060"/>
      <c r="Y234" s="1060"/>
      <c r="Z234" s="1060"/>
      <c r="AA234" s="1544"/>
      <c r="AB234" s="491"/>
      <c r="AC234" s="491"/>
      <c r="AD234" s="491"/>
      <c r="AE234" s="491"/>
    </row>
    <row r="235" spans="1:31" s="2013" customFormat="1" ht="11.25" customHeight="1">
      <c r="A235" s="895"/>
      <c r="B235" s="1548"/>
      <c r="C235" s="1548"/>
      <c r="D235" s="276"/>
      <c r="K235" s="1060"/>
      <c r="L235" s="1548"/>
      <c r="M235" s="1548"/>
      <c r="N235" s="1060"/>
      <c r="O235" s="1060"/>
      <c r="P235" s="1060"/>
      <c r="Q235" s="1060"/>
      <c r="R235" s="1548"/>
      <c r="S235" s="1060"/>
      <c r="T235" s="1060"/>
      <c r="U235" s="469"/>
      <c r="V235" s="1060"/>
      <c r="W235" s="1060"/>
      <c r="X235" s="1060"/>
      <c r="Y235" s="1060"/>
      <c r="Z235" s="1060"/>
      <c r="AA235" s="1544"/>
      <c r="AB235" s="491"/>
      <c r="AC235" s="491"/>
      <c r="AD235" s="491"/>
      <c r="AE235" s="491"/>
    </row>
    <row r="236" spans="1:31" s="2013" customFormat="1" ht="11.25" customHeight="1">
      <c r="A236" s="895"/>
      <c r="B236" s="1548"/>
      <c r="C236" s="1548"/>
      <c r="D236" s="276"/>
      <c r="K236" s="1060"/>
      <c r="L236" s="1548"/>
      <c r="M236" s="1548"/>
      <c r="N236" s="1060"/>
      <c r="O236" s="1060"/>
      <c r="P236" s="1060"/>
      <c r="Q236" s="1060"/>
      <c r="R236" s="1548"/>
      <c r="S236" s="1060"/>
      <c r="T236" s="1060"/>
      <c r="U236" s="469"/>
      <c r="V236" s="1060"/>
      <c r="W236" s="1060"/>
      <c r="X236" s="1060"/>
      <c r="Y236" s="1060"/>
      <c r="Z236" s="1060"/>
      <c r="AA236" s="1544"/>
      <c r="AB236" s="491"/>
      <c r="AC236" s="491"/>
      <c r="AD236" s="491"/>
      <c r="AE236" s="491"/>
    </row>
    <row r="237" spans="1:31" s="2013" customFormat="1" ht="11.25" customHeight="1">
      <c r="A237" s="895"/>
      <c r="B237" s="1548"/>
      <c r="C237" s="1548"/>
      <c r="D237" s="276"/>
      <c r="K237" s="1060"/>
      <c r="L237" s="1548"/>
      <c r="M237" s="1548"/>
      <c r="N237" s="1060"/>
      <c r="O237" s="1060"/>
      <c r="P237" s="1060"/>
      <c r="Q237" s="1060"/>
      <c r="R237" s="1548"/>
      <c r="S237" s="1060"/>
      <c r="T237" s="1060"/>
      <c r="U237" s="469"/>
      <c r="V237" s="1060"/>
      <c r="W237" s="1060"/>
      <c r="X237" s="1060"/>
      <c r="Y237" s="1060"/>
      <c r="Z237" s="1060"/>
      <c r="AA237" s="1544"/>
      <c r="AB237" s="491"/>
      <c r="AC237" s="491"/>
      <c r="AD237" s="491"/>
      <c r="AE237" s="491"/>
    </row>
    <row r="238" spans="1:31" s="2013" customFormat="1" ht="11.25" customHeight="1">
      <c r="A238" s="895"/>
      <c r="B238" s="1548"/>
      <c r="C238" s="1548"/>
      <c r="D238" s="276"/>
      <c r="K238" s="1060"/>
      <c r="L238" s="1548"/>
      <c r="M238" s="1548"/>
      <c r="N238" s="1060"/>
      <c r="O238" s="1060"/>
      <c r="P238" s="1060"/>
      <c r="Q238" s="1060"/>
      <c r="R238" s="1548"/>
      <c r="S238" s="1060"/>
      <c r="T238" s="1060"/>
      <c r="U238" s="469"/>
      <c r="V238" s="1060"/>
      <c r="W238" s="1060"/>
      <c r="X238" s="1060"/>
      <c r="Y238" s="1060"/>
      <c r="Z238" s="1060"/>
      <c r="AA238" s="1544"/>
      <c r="AB238" s="491"/>
      <c r="AC238" s="491"/>
      <c r="AD238" s="491"/>
      <c r="AE238" s="491"/>
    </row>
    <row r="239" spans="1:31" s="2013" customFormat="1" ht="11.25" customHeight="1">
      <c r="A239" s="895"/>
      <c r="B239" s="1548"/>
      <c r="C239" s="1548"/>
      <c r="D239" s="276"/>
      <c r="K239" s="1060"/>
      <c r="L239" s="1548"/>
      <c r="M239" s="1548"/>
      <c r="N239" s="1060"/>
      <c r="O239" s="1060"/>
      <c r="P239" s="1060"/>
      <c r="Q239" s="1060"/>
      <c r="R239" s="1548"/>
      <c r="S239" s="1060"/>
      <c r="T239" s="1060"/>
      <c r="U239" s="469"/>
      <c r="V239" s="1060"/>
      <c r="W239" s="1060"/>
      <c r="X239" s="1060"/>
      <c r="Y239" s="1060"/>
      <c r="Z239" s="1060"/>
      <c r="AA239" s="1544"/>
      <c r="AB239" s="491"/>
      <c r="AC239" s="491"/>
      <c r="AD239" s="491"/>
      <c r="AE239" s="491"/>
    </row>
    <row r="240" spans="1:31" s="2013" customFormat="1" ht="11.25" customHeight="1">
      <c r="A240" s="895"/>
      <c r="B240" s="1548"/>
      <c r="C240" s="1548"/>
      <c r="D240" s="276"/>
      <c r="K240" s="1060"/>
      <c r="L240" s="1548"/>
      <c r="M240" s="1548"/>
      <c r="N240" s="1060"/>
      <c r="O240" s="1060"/>
      <c r="P240" s="1060"/>
      <c r="Q240" s="1060"/>
      <c r="R240" s="1548"/>
      <c r="S240" s="1060"/>
      <c r="T240" s="1060"/>
      <c r="U240" s="469"/>
      <c r="V240" s="1060"/>
      <c r="W240" s="1060"/>
      <c r="X240" s="1060"/>
      <c r="Y240" s="1060"/>
      <c r="Z240" s="1060"/>
      <c r="AA240" s="1544"/>
      <c r="AB240" s="491"/>
      <c r="AC240" s="491"/>
      <c r="AD240" s="491"/>
      <c r="AE240" s="491"/>
    </row>
    <row r="241" spans="1:31" s="2013" customFormat="1" ht="11.25" customHeight="1">
      <c r="A241" s="895"/>
      <c r="B241" s="1548"/>
      <c r="C241" s="1548"/>
      <c r="D241" s="276"/>
      <c r="K241" s="1060"/>
      <c r="L241" s="1548"/>
      <c r="M241" s="1548"/>
      <c r="N241" s="1060"/>
      <c r="O241" s="1060"/>
      <c r="P241" s="1060"/>
      <c r="Q241" s="1060"/>
      <c r="R241" s="1548"/>
      <c r="S241" s="1060"/>
      <c r="T241" s="1060"/>
      <c r="U241" s="469"/>
      <c r="V241" s="1060"/>
      <c r="W241" s="1060"/>
      <c r="X241" s="1060"/>
      <c r="Y241" s="1060"/>
      <c r="Z241" s="1060"/>
      <c r="AA241" s="1544"/>
      <c r="AB241" s="491"/>
      <c r="AC241" s="491"/>
      <c r="AD241" s="491"/>
      <c r="AE241" s="491"/>
    </row>
    <row r="242" spans="1:31" s="2013" customFormat="1" ht="11.25" customHeight="1">
      <c r="A242" s="895"/>
      <c r="B242" s="1548"/>
      <c r="C242" s="1548"/>
      <c r="D242" s="276"/>
      <c r="K242" s="1060"/>
      <c r="L242" s="1548"/>
      <c r="M242" s="1548"/>
      <c r="N242" s="1060"/>
      <c r="O242" s="1060"/>
      <c r="P242" s="1060"/>
      <c r="Q242" s="1060"/>
      <c r="R242" s="1548"/>
      <c r="S242" s="1060"/>
      <c r="T242" s="1060"/>
      <c r="U242" s="469"/>
      <c r="V242" s="1060"/>
      <c r="W242" s="1060"/>
      <c r="X242" s="1060"/>
      <c r="Y242" s="1060"/>
      <c r="Z242" s="1060"/>
      <c r="AA242" s="1544"/>
      <c r="AB242" s="491"/>
      <c r="AC242" s="491"/>
      <c r="AD242" s="491"/>
      <c r="AE242" s="491"/>
    </row>
    <row r="243" spans="1:31" s="2013" customFormat="1" ht="11.25" customHeight="1">
      <c r="A243" s="895"/>
      <c r="B243" s="1548"/>
      <c r="C243" s="1548"/>
      <c r="D243" s="276"/>
      <c r="K243" s="1060"/>
      <c r="L243" s="1548"/>
      <c r="M243" s="1548"/>
      <c r="N243" s="1060"/>
      <c r="O243" s="1060"/>
      <c r="P243" s="1060"/>
      <c r="Q243" s="1060"/>
      <c r="R243" s="1548"/>
      <c r="S243" s="1060"/>
      <c r="T243" s="1060"/>
      <c r="U243" s="469"/>
      <c r="V243" s="1060"/>
      <c r="W243" s="1060"/>
      <c r="X243" s="1060"/>
      <c r="Y243" s="1060"/>
      <c r="Z243" s="1060"/>
      <c r="AA243" s="1544"/>
      <c r="AB243" s="491"/>
      <c r="AC243" s="491"/>
      <c r="AD243" s="491"/>
      <c r="AE243" s="491"/>
    </row>
    <row r="244" spans="1:31" s="2013" customFormat="1" ht="11.25" customHeight="1">
      <c r="A244" s="895"/>
      <c r="B244" s="1548"/>
      <c r="C244" s="1548"/>
      <c r="D244" s="276"/>
      <c r="K244" s="1060"/>
      <c r="L244" s="1548"/>
      <c r="M244" s="1548"/>
      <c r="N244" s="1060"/>
      <c r="O244" s="1060"/>
      <c r="P244" s="1060"/>
      <c r="Q244" s="1060"/>
      <c r="R244" s="1548"/>
      <c r="S244" s="1060"/>
      <c r="T244" s="1060"/>
      <c r="U244" s="469"/>
      <c r="V244" s="1060"/>
      <c r="W244" s="1060"/>
      <c r="X244" s="1060"/>
      <c r="Y244" s="1060"/>
      <c r="Z244" s="1060"/>
      <c r="AA244" s="1544"/>
      <c r="AB244" s="491"/>
      <c r="AC244" s="491"/>
      <c r="AD244" s="491"/>
      <c r="AE244" s="491"/>
    </row>
    <row r="245" spans="1:31" s="2013" customFormat="1" ht="11.25" customHeight="1">
      <c r="A245" s="895"/>
      <c r="B245" s="1548"/>
      <c r="C245" s="1548"/>
      <c r="D245" s="276"/>
      <c r="K245" s="1060"/>
      <c r="L245" s="1548"/>
      <c r="M245" s="1548"/>
      <c r="N245" s="1060"/>
      <c r="O245" s="1060"/>
      <c r="P245" s="1060"/>
      <c r="Q245" s="1060"/>
      <c r="R245" s="1548"/>
      <c r="S245" s="1060"/>
      <c r="T245" s="1060"/>
      <c r="U245" s="469"/>
      <c r="V245" s="1060"/>
      <c r="W245" s="1060"/>
      <c r="X245" s="1060"/>
      <c r="Y245" s="1060"/>
      <c r="Z245" s="1060"/>
      <c r="AA245" s="1544"/>
      <c r="AB245" s="491"/>
      <c r="AC245" s="491"/>
      <c r="AD245" s="491"/>
      <c r="AE245" s="491"/>
    </row>
    <row r="246" spans="1:31" s="2013" customFormat="1" ht="11.25" customHeight="1">
      <c r="A246" s="895"/>
      <c r="B246" s="1548"/>
      <c r="C246" s="1548"/>
      <c r="D246" s="276"/>
      <c r="K246" s="1060"/>
      <c r="L246" s="1548"/>
      <c r="M246" s="1548"/>
      <c r="N246" s="1060"/>
      <c r="O246" s="1060"/>
      <c r="P246" s="1060"/>
      <c r="Q246" s="1060"/>
      <c r="R246" s="1548"/>
      <c r="S246" s="1060"/>
      <c r="T246" s="1060"/>
      <c r="U246" s="469"/>
      <c r="V246" s="1060"/>
      <c r="W246" s="1060"/>
      <c r="X246" s="1060"/>
      <c r="Y246" s="1060"/>
      <c r="Z246" s="1060"/>
      <c r="AA246" s="1544"/>
      <c r="AB246" s="491"/>
      <c r="AC246" s="491"/>
      <c r="AD246" s="491"/>
      <c r="AE246" s="491"/>
    </row>
    <row r="247" spans="1:31" s="2013" customFormat="1" ht="11.25" customHeight="1">
      <c r="A247" s="895"/>
      <c r="B247" s="1548"/>
      <c r="C247" s="1548"/>
      <c r="D247" s="276"/>
      <c r="K247" s="1060"/>
      <c r="L247" s="1548"/>
      <c r="M247" s="1548"/>
      <c r="N247" s="1060"/>
      <c r="O247" s="1060"/>
      <c r="P247" s="1060"/>
      <c r="Q247" s="1060"/>
      <c r="R247" s="1548"/>
      <c r="S247" s="1060"/>
      <c r="T247" s="1060"/>
      <c r="U247" s="469"/>
      <c r="V247" s="1060"/>
      <c r="W247" s="1060"/>
      <c r="X247" s="1060"/>
      <c r="Y247" s="1060"/>
      <c r="Z247" s="1060"/>
      <c r="AA247" s="1544"/>
      <c r="AB247" s="491"/>
      <c r="AC247" s="491"/>
      <c r="AD247" s="491"/>
      <c r="AE247" s="491"/>
    </row>
    <row r="248" spans="1:31" s="2013" customFormat="1" ht="11.25" customHeight="1">
      <c r="A248" s="895"/>
      <c r="B248" s="1548"/>
      <c r="C248" s="1548"/>
      <c r="D248" s="276"/>
      <c r="K248" s="1060"/>
      <c r="L248" s="1548"/>
      <c r="M248" s="1548"/>
      <c r="N248" s="1060"/>
      <c r="O248" s="1060"/>
      <c r="P248" s="1060"/>
      <c r="Q248" s="1060"/>
      <c r="R248" s="1548"/>
      <c r="S248" s="1060"/>
      <c r="T248" s="1060"/>
      <c r="U248" s="469"/>
      <c r="V248" s="1060"/>
      <c r="W248" s="1060"/>
      <c r="X248" s="1060"/>
      <c r="Y248" s="1060"/>
      <c r="Z248" s="1060"/>
      <c r="AA248" s="1544"/>
      <c r="AB248" s="491"/>
      <c r="AC248" s="491"/>
      <c r="AD248" s="491"/>
      <c r="AE248" s="491"/>
    </row>
    <row r="249" spans="1:31" s="2013" customFormat="1" ht="11.25" customHeight="1">
      <c r="A249" s="895"/>
      <c r="B249" s="1548"/>
      <c r="C249" s="1548"/>
      <c r="D249" s="276"/>
      <c r="K249" s="1060"/>
      <c r="L249" s="1548"/>
      <c r="M249" s="1548"/>
      <c r="N249" s="1060"/>
      <c r="O249" s="1060"/>
      <c r="P249" s="1060"/>
      <c r="Q249" s="1060"/>
      <c r="R249" s="1548"/>
      <c r="S249" s="1060"/>
      <c r="T249" s="1060"/>
      <c r="U249" s="469"/>
      <c r="V249" s="1060"/>
      <c r="W249" s="1060"/>
      <c r="X249" s="1060"/>
      <c r="Y249" s="1060"/>
      <c r="Z249" s="1060"/>
      <c r="AA249" s="1544"/>
      <c r="AB249" s="491"/>
      <c r="AC249" s="491"/>
      <c r="AD249" s="491"/>
      <c r="AE249" s="491"/>
    </row>
    <row r="250" spans="1:31" s="2013" customFormat="1" ht="11.25" customHeight="1">
      <c r="A250" s="895"/>
      <c r="B250" s="1548"/>
      <c r="C250" s="1548"/>
      <c r="D250" s="276"/>
      <c r="K250" s="1060"/>
      <c r="L250" s="1548"/>
      <c r="M250" s="1548"/>
      <c r="N250" s="1060"/>
      <c r="O250" s="1060"/>
      <c r="P250" s="1060"/>
      <c r="Q250" s="1060"/>
      <c r="R250" s="1548"/>
      <c r="S250" s="1060"/>
      <c r="T250" s="1060"/>
      <c r="U250" s="469"/>
      <c r="V250" s="1060"/>
      <c r="W250" s="1060"/>
      <c r="X250" s="1060"/>
      <c r="Y250" s="1060"/>
      <c r="Z250" s="1060"/>
      <c r="AA250" s="1544"/>
      <c r="AB250" s="491"/>
      <c r="AC250" s="491"/>
      <c r="AD250" s="491"/>
      <c r="AE250" s="491"/>
    </row>
    <row r="251" spans="1:31" s="2013" customFormat="1" ht="11.25" customHeight="1">
      <c r="A251" s="895"/>
      <c r="B251" s="1548"/>
      <c r="C251" s="1548"/>
      <c r="D251" s="276"/>
      <c r="K251" s="1060"/>
      <c r="L251" s="1548"/>
      <c r="M251" s="1548"/>
      <c r="N251" s="1060"/>
      <c r="O251" s="1060"/>
      <c r="P251" s="1060"/>
      <c r="Q251" s="1060"/>
      <c r="R251" s="1548"/>
      <c r="S251" s="1060"/>
      <c r="T251" s="1060"/>
      <c r="U251" s="469"/>
      <c r="V251" s="1060"/>
      <c r="W251" s="1060"/>
      <c r="X251" s="1060"/>
      <c r="Y251" s="1060"/>
      <c r="Z251" s="1060"/>
      <c r="AA251" s="1544"/>
      <c r="AB251" s="491"/>
      <c r="AC251" s="491"/>
      <c r="AD251" s="491"/>
      <c r="AE251" s="491"/>
    </row>
    <row r="252" spans="1:31" s="2013" customFormat="1" ht="11.25" customHeight="1">
      <c r="A252" s="895"/>
      <c r="B252" s="1548"/>
      <c r="C252" s="1548"/>
      <c r="D252" s="276"/>
      <c r="K252" s="1060"/>
      <c r="L252" s="1548"/>
      <c r="M252" s="1548"/>
      <c r="N252" s="1060"/>
      <c r="O252" s="1060"/>
      <c r="P252" s="1060"/>
      <c r="Q252" s="1060"/>
      <c r="R252" s="1548"/>
      <c r="S252" s="1060"/>
      <c r="T252" s="1060"/>
      <c r="U252" s="469"/>
      <c r="V252" s="1060"/>
      <c r="W252" s="1060"/>
      <c r="X252" s="1060"/>
      <c r="Y252" s="1060"/>
      <c r="Z252" s="1060"/>
      <c r="AA252" s="1544"/>
      <c r="AB252" s="491"/>
      <c r="AC252" s="491"/>
      <c r="AD252" s="491"/>
      <c r="AE252" s="491"/>
    </row>
    <row r="253" spans="1:31" s="2013" customFormat="1" ht="11.25" customHeight="1">
      <c r="A253" s="895"/>
      <c r="B253" s="1548"/>
      <c r="C253" s="1548"/>
      <c r="D253" s="276"/>
      <c r="K253" s="1060"/>
      <c r="L253" s="1548"/>
      <c r="M253" s="1548"/>
      <c r="N253" s="1060"/>
      <c r="O253" s="1060"/>
      <c r="P253" s="1060"/>
      <c r="Q253" s="1060"/>
      <c r="R253" s="1548"/>
      <c r="S253" s="1060"/>
      <c r="T253" s="1060"/>
      <c r="U253" s="469"/>
      <c r="V253" s="1060"/>
      <c r="W253" s="1060"/>
      <c r="X253" s="1060"/>
      <c r="Y253" s="1060"/>
      <c r="Z253" s="1060"/>
      <c r="AA253" s="1544"/>
      <c r="AB253" s="491"/>
      <c r="AC253" s="491"/>
      <c r="AD253" s="491"/>
      <c r="AE253" s="491"/>
    </row>
    <row r="254" spans="1:31" s="2013" customFormat="1" ht="11.25" customHeight="1">
      <c r="A254" s="895"/>
      <c r="B254" s="1548"/>
      <c r="C254" s="1548"/>
      <c r="D254" s="276"/>
      <c r="K254" s="1060"/>
      <c r="L254" s="1548"/>
      <c r="M254" s="1548"/>
      <c r="N254" s="1060"/>
      <c r="O254" s="1060"/>
      <c r="P254" s="1060"/>
      <c r="Q254" s="1060"/>
      <c r="R254" s="1548"/>
      <c r="S254" s="1060"/>
      <c r="T254" s="1060"/>
      <c r="U254" s="469"/>
      <c r="V254" s="1060"/>
      <c r="W254" s="1060"/>
      <c r="X254" s="1060"/>
      <c r="Y254" s="1060"/>
      <c r="Z254" s="1060"/>
      <c r="AA254" s="1544"/>
      <c r="AB254" s="491"/>
      <c r="AC254" s="491"/>
      <c r="AD254" s="491"/>
      <c r="AE254" s="491"/>
    </row>
    <row r="255" spans="1:31" s="2013" customFormat="1" ht="11.25" customHeight="1">
      <c r="A255" s="895"/>
      <c r="B255" s="1548"/>
      <c r="C255" s="1548"/>
      <c r="D255" s="276"/>
      <c r="K255" s="1060"/>
      <c r="L255" s="1548"/>
      <c r="M255" s="1548"/>
      <c r="N255" s="1060"/>
      <c r="O255" s="1060"/>
      <c r="P255" s="1060"/>
      <c r="Q255" s="1060"/>
      <c r="R255" s="1548"/>
      <c r="S255" s="1060"/>
      <c r="T255" s="1060"/>
      <c r="U255" s="469"/>
      <c r="V255" s="1060"/>
      <c r="W255" s="1060"/>
      <c r="X255" s="1060"/>
      <c r="Y255" s="1060"/>
      <c r="Z255" s="1060"/>
      <c r="AA255" s="1544"/>
      <c r="AB255" s="491"/>
      <c r="AC255" s="491"/>
      <c r="AD255" s="491"/>
      <c r="AE255" s="491"/>
    </row>
    <row r="256" spans="1:31" s="2013" customFormat="1" ht="11.25" customHeight="1">
      <c r="A256" s="895"/>
      <c r="B256" s="1548"/>
      <c r="C256" s="1548"/>
      <c r="D256" s="276"/>
      <c r="K256" s="1060"/>
      <c r="L256" s="1548"/>
      <c r="M256" s="1548"/>
      <c r="N256" s="1060"/>
      <c r="O256" s="1060"/>
      <c r="P256" s="1060"/>
      <c r="Q256" s="1060"/>
      <c r="R256" s="1548"/>
      <c r="S256" s="1060"/>
      <c r="T256" s="1060"/>
      <c r="U256" s="469"/>
      <c r="V256" s="1060"/>
      <c r="W256" s="1060"/>
      <c r="X256" s="1060"/>
      <c r="Y256" s="1060"/>
      <c r="Z256" s="1060"/>
      <c r="AA256" s="1544"/>
      <c r="AB256" s="491"/>
      <c r="AC256" s="491"/>
      <c r="AD256" s="491"/>
      <c r="AE256" s="491"/>
    </row>
    <row r="257" spans="1:31" s="2013" customFormat="1" ht="11.25" customHeight="1">
      <c r="A257" s="895"/>
      <c r="B257" s="1548"/>
      <c r="C257" s="1548"/>
      <c r="D257" s="276"/>
      <c r="K257" s="1060"/>
      <c r="L257" s="1548"/>
      <c r="M257" s="1548"/>
      <c r="N257" s="1060"/>
      <c r="O257" s="1060"/>
      <c r="P257" s="1060"/>
      <c r="Q257" s="1060"/>
      <c r="R257" s="1548"/>
      <c r="S257" s="1060"/>
      <c r="T257" s="1060"/>
      <c r="U257" s="469"/>
      <c r="V257" s="1060"/>
      <c r="W257" s="1060"/>
      <c r="X257" s="1060"/>
      <c r="Y257" s="1060"/>
      <c r="Z257" s="1060"/>
      <c r="AA257" s="1544"/>
      <c r="AB257" s="491"/>
      <c r="AC257" s="491"/>
      <c r="AD257" s="491"/>
      <c r="AE257" s="491"/>
    </row>
    <row r="258" spans="1:31" s="2013" customFormat="1" ht="11.25" customHeight="1">
      <c r="A258" s="895"/>
      <c r="B258" s="1548"/>
      <c r="C258" s="1548"/>
      <c r="D258" s="276"/>
      <c r="K258" s="1060"/>
      <c r="L258" s="1548"/>
      <c r="M258" s="1548"/>
      <c r="N258" s="1060"/>
      <c r="O258" s="1060"/>
      <c r="P258" s="1060"/>
      <c r="Q258" s="1060"/>
      <c r="R258" s="1548"/>
      <c r="S258" s="1060"/>
      <c r="T258" s="1060"/>
      <c r="U258" s="469"/>
      <c r="V258" s="1060"/>
      <c r="W258" s="1060"/>
      <c r="X258" s="1060"/>
      <c r="Y258" s="1060"/>
      <c r="Z258" s="1060"/>
      <c r="AA258" s="1544"/>
      <c r="AB258" s="491"/>
      <c r="AC258" s="491"/>
      <c r="AD258" s="491"/>
      <c r="AE258" s="491"/>
    </row>
    <row r="259" spans="1:31" s="2013" customFormat="1" ht="11.25" customHeight="1">
      <c r="A259" s="895"/>
      <c r="B259" s="1548"/>
      <c r="C259" s="1548"/>
      <c r="D259" s="276"/>
      <c r="K259" s="1060"/>
      <c r="L259" s="1548"/>
      <c r="M259" s="1548"/>
      <c r="N259" s="1060"/>
      <c r="O259" s="1060"/>
      <c r="P259" s="1060"/>
      <c r="Q259" s="1060"/>
      <c r="R259" s="1548"/>
      <c r="S259" s="1060"/>
      <c r="T259" s="1060"/>
      <c r="U259" s="469"/>
      <c r="V259" s="1060"/>
      <c r="W259" s="1060"/>
      <c r="X259" s="1060"/>
      <c r="Y259" s="1060"/>
      <c r="Z259" s="1060"/>
      <c r="AA259" s="1544"/>
      <c r="AB259" s="491"/>
      <c r="AC259" s="491"/>
      <c r="AD259" s="491"/>
      <c r="AE259" s="491"/>
    </row>
    <row r="260" spans="1:31" s="2013" customFormat="1" ht="11.25" customHeight="1">
      <c r="A260" s="895"/>
      <c r="B260" s="1548"/>
      <c r="C260" s="1548"/>
      <c r="D260" s="276"/>
      <c r="K260" s="1060"/>
      <c r="L260" s="1548"/>
      <c r="M260" s="1548"/>
      <c r="N260" s="1060"/>
      <c r="O260" s="1060"/>
      <c r="P260" s="1060"/>
      <c r="Q260" s="1060"/>
      <c r="R260" s="1548"/>
      <c r="S260" s="1060"/>
      <c r="T260" s="1060"/>
      <c r="U260" s="469"/>
      <c r="V260" s="1060"/>
      <c r="W260" s="1060"/>
      <c r="X260" s="1060"/>
      <c r="Y260" s="1060"/>
      <c r="Z260" s="1060"/>
      <c r="AA260" s="1544"/>
      <c r="AB260" s="491"/>
      <c r="AC260" s="491"/>
      <c r="AD260" s="491"/>
      <c r="AE260" s="491"/>
    </row>
    <row r="261" spans="1:31" s="2013" customFormat="1" ht="11.25" customHeight="1">
      <c r="A261" s="895"/>
      <c r="B261" s="1548"/>
      <c r="C261" s="1548"/>
      <c r="D261" s="276"/>
      <c r="K261" s="1060"/>
      <c r="L261" s="1548"/>
      <c r="M261" s="1548"/>
      <c r="N261" s="1060"/>
      <c r="O261" s="1060"/>
      <c r="P261" s="1060"/>
      <c r="Q261" s="1060"/>
      <c r="R261" s="1548"/>
      <c r="S261" s="1060"/>
      <c r="T261" s="1060"/>
      <c r="U261" s="469"/>
      <c r="V261" s="1060"/>
      <c r="W261" s="1060"/>
      <c r="X261" s="1060"/>
      <c r="Y261" s="1060"/>
      <c r="Z261" s="1060"/>
      <c r="AA261" s="1544"/>
      <c r="AB261" s="491"/>
      <c r="AC261" s="491"/>
      <c r="AD261" s="491"/>
      <c r="AE261" s="491"/>
    </row>
    <row r="262" spans="1:31" s="2013" customFormat="1" ht="11.25" customHeight="1">
      <c r="A262" s="895"/>
      <c r="B262" s="1548"/>
      <c r="C262" s="1548"/>
      <c r="D262" s="276"/>
      <c r="K262" s="1060"/>
      <c r="L262" s="1548"/>
      <c r="M262" s="1548"/>
      <c r="N262" s="1060"/>
      <c r="O262" s="1060"/>
      <c r="P262" s="1060"/>
      <c r="Q262" s="1060"/>
      <c r="R262" s="1548"/>
      <c r="S262" s="1060"/>
      <c r="T262" s="1060"/>
      <c r="U262" s="469"/>
      <c r="V262" s="1060"/>
      <c r="W262" s="1060"/>
      <c r="X262" s="1060"/>
      <c r="Y262" s="1060"/>
      <c r="Z262" s="1060"/>
      <c r="AA262" s="1544"/>
      <c r="AB262" s="491"/>
      <c r="AC262" s="491"/>
      <c r="AD262" s="491"/>
      <c r="AE262" s="491"/>
    </row>
    <row r="263" spans="1:31" s="2013" customFormat="1" ht="11.25" customHeight="1">
      <c r="A263" s="895"/>
      <c r="B263" s="1548"/>
      <c r="C263" s="1548"/>
      <c r="D263" s="276"/>
      <c r="K263" s="1060"/>
      <c r="L263" s="1548"/>
      <c r="M263" s="1548"/>
      <c r="N263" s="1060"/>
      <c r="O263" s="1060"/>
      <c r="P263" s="1060"/>
      <c r="Q263" s="1060"/>
      <c r="R263" s="1548"/>
      <c r="S263" s="1060"/>
      <c r="T263" s="1060"/>
      <c r="U263" s="469"/>
      <c r="V263" s="1060"/>
      <c r="W263" s="1060"/>
      <c r="X263" s="1060"/>
      <c r="Y263" s="1060"/>
      <c r="Z263" s="1060"/>
      <c r="AA263" s="1544"/>
      <c r="AB263" s="491"/>
      <c r="AC263" s="491"/>
      <c r="AD263" s="491"/>
      <c r="AE263" s="491"/>
    </row>
    <row r="264" spans="1:31" s="2013" customFormat="1" ht="11.25" customHeight="1">
      <c r="A264" s="895"/>
      <c r="B264" s="1548"/>
      <c r="C264" s="1548"/>
      <c r="D264" s="276"/>
      <c r="K264" s="1060"/>
      <c r="L264" s="1548"/>
      <c r="M264" s="1548"/>
      <c r="N264" s="1060"/>
      <c r="O264" s="1060"/>
      <c r="P264" s="1060"/>
      <c r="Q264" s="1060"/>
      <c r="R264" s="1548"/>
      <c r="S264" s="1060"/>
      <c r="T264" s="1060"/>
      <c r="U264" s="469"/>
      <c r="V264" s="1060"/>
      <c r="W264" s="1060"/>
      <c r="X264" s="1060"/>
      <c r="Y264" s="1060"/>
      <c r="Z264" s="1060"/>
      <c r="AA264" s="1544"/>
      <c r="AB264" s="491"/>
      <c r="AC264" s="491"/>
      <c r="AD264" s="491"/>
      <c r="AE264" s="491"/>
    </row>
    <row r="265" spans="1:31" s="2013" customFormat="1" ht="11.25" customHeight="1">
      <c r="A265" s="895"/>
      <c r="B265" s="1548"/>
      <c r="C265" s="1548"/>
      <c r="D265" s="276"/>
      <c r="K265" s="1060"/>
      <c r="L265" s="1548"/>
      <c r="M265" s="1548"/>
      <c r="N265" s="1060"/>
      <c r="O265" s="1060"/>
      <c r="P265" s="1060"/>
      <c r="Q265" s="1060"/>
      <c r="R265" s="1548"/>
      <c r="S265" s="1060"/>
      <c r="T265" s="1060"/>
      <c r="U265" s="469"/>
      <c r="V265" s="1060"/>
      <c r="W265" s="1060"/>
      <c r="X265" s="1060"/>
      <c r="Y265" s="1060"/>
      <c r="Z265" s="1060"/>
      <c r="AA265" s="1544"/>
      <c r="AB265" s="491"/>
      <c r="AC265" s="491"/>
      <c r="AD265" s="491"/>
      <c r="AE265" s="491"/>
    </row>
    <row r="266" spans="1:31" s="2013" customFormat="1" ht="11.25" customHeight="1">
      <c r="A266" s="895"/>
      <c r="B266" s="1548"/>
      <c r="C266" s="1548"/>
      <c r="D266" s="276"/>
      <c r="K266" s="1060"/>
      <c r="L266" s="1548"/>
      <c r="M266" s="1548"/>
      <c r="N266" s="1060"/>
      <c r="O266" s="1060"/>
      <c r="P266" s="1060"/>
      <c r="Q266" s="1060"/>
      <c r="R266" s="1548"/>
      <c r="S266" s="1060"/>
      <c r="T266" s="1060"/>
      <c r="U266" s="469"/>
      <c r="V266" s="1060"/>
      <c r="W266" s="1060"/>
      <c r="X266" s="1060"/>
      <c r="Y266" s="1060"/>
      <c r="Z266" s="1060"/>
      <c r="AA266" s="1544"/>
      <c r="AB266" s="491"/>
      <c r="AC266" s="491"/>
      <c r="AD266" s="491"/>
      <c r="AE266" s="491"/>
    </row>
    <row r="267" spans="1:31" s="2013" customFormat="1" ht="11.25" customHeight="1">
      <c r="A267" s="895"/>
      <c r="B267" s="1548"/>
      <c r="C267" s="1548"/>
      <c r="D267" s="276"/>
      <c r="K267" s="1060"/>
      <c r="L267" s="1548"/>
      <c r="M267" s="1548"/>
      <c r="N267" s="1060"/>
      <c r="O267" s="1060"/>
      <c r="P267" s="1060"/>
      <c r="Q267" s="1060"/>
      <c r="R267" s="1548"/>
      <c r="S267" s="1060"/>
      <c r="T267" s="1060"/>
      <c r="U267" s="469"/>
      <c r="V267" s="1060"/>
      <c r="W267" s="1060"/>
      <c r="X267" s="1060"/>
      <c r="Y267" s="1060"/>
      <c r="Z267" s="1060"/>
      <c r="AA267" s="1544"/>
      <c r="AB267" s="491"/>
      <c r="AC267" s="491"/>
      <c r="AD267" s="491"/>
      <c r="AE267" s="491"/>
    </row>
    <row r="268" spans="1:31" s="2013" customFormat="1" ht="11.25" customHeight="1">
      <c r="A268" s="895"/>
      <c r="B268" s="1548"/>
      <c r="C268" s="1548"/>
      <c r="D268" s="276"/>
      <c r="K268" s="1060"/>
      <c r="L268" s="1548"/>
      <c r="M268" s="1548"/>
      <c r="N268" s="1060"/>
      <c r="O268" s="1060"/>
      <c r="P268" s="1060"/>
      <c r="Q268" s="1060"/>
      <c r="R268" s="1548"/>
      <c r="S268" s="1060"/>
      <c r="T268" s="1060"/>
      <c r="U268" s="469"/>
      <c r="V268" s="1060"/>
      <c r="W268" s="1060"/>
      <c r="X268" s="1060"/>
      <c r="Y268" s="1060"/>
      <c r="Z268" s="1060"/>
      <c r="AA268" s="1544"/>
      <c r="AB268" s="491"/>
      <c r="AC268" s="491"/>
      <c r="AD268" s="491"/>
      <c r="AE268" s="491"/>
    </row>
    <row r="269" spans="1:31" s="2013" customFormat="1" ht="11.25" customHeight="1">
      <c r="A269" s="895"/>
      <c r="B269" s="1548"/>
      <c r="C269" s="1548"/>
      <c r="D269" s="276"/>
      <c r="K269" s="1060"/>
      <c r="L269" s="1548"/>
      <c r="M269" s="1548"/>
      <c r="N269" s="1060"/>
      <c r="O269" s="1060"/>
      <c r="P269" s="1060"/>
      <c r="Q269" s="1060"/>
      <c r="R269" s="1548"/>
      <c r="S269" s="1060"/>
      <c r="T269" s="1060"/>
      <c r="U269" s="469"/>
      <c r="V269" s="1060"/>
      <c r="W269" s="1060"/>
      <c r="X269" s="1060"/>
      <c r="Y269" s="1060"/>
      <c r="Z269" s="1060"/>
      <c r="AA269" s="1544"/>
      <c r="AB269" s="491"/>
      <c r="AC269" s="491"/>
      <c r="AD269" s="491"/>
      <c r="AE269" s="491"/>
    </row>
    <row r="270" spans="1:31" s="2013" customFormat="1" ht="11.25" customHeight="1">
      <c r="A270" s="895"/>
      <c r="B270" s="1548"/>
      <c r="C270" s="1548"/>
      <c r="D270" s="276"/>
      <c r="K270" s="1060"/>
      <c r="L270" s="1548"/>
      <c r="M270" s="1548"/>
      <c r="N270" s="1060"/>
      <c r="O270" s="1060"/>
      <c r="P270" s="1060"/>
      <c r="Q270" s="1060"/>
      <c r="R270" s="1548"/>
      <c r="S270" s="1060"/>
      <c r="T270" s="1060"/>
      <c r="U270" s="469"/>
      <c r="V270" s="1060"/>
      <c r="W270" s="1060"/>
      <c r="X270" s="1060"/>
      <c r="Y270" s="1060"/>
      <c r="Z270" s="1060"/>
      <c r="AA270" s="1544"/>
      <c r="AB270" s="491"/>
      <c r="AC270" s="491"/>
      <c r="AD270" s="491"/>
      <c r="AE270" s="491"/>
    </row>
    <row r="271" spans="1:31" s="2013" customFormat="1" ht="11.25" customHeight="1">
      <c r="A271" s="895"/>
      <c r="B271" s="1548"/>
      <c r="C271" s="1548"/>
      <c r="D271" s="276"/>
      <c r="K271" s="1060"/>
      <c r="L271" s="1548"/>
      <c r="M271" s="1548"/>
      <c r="N271" s="1060"/>
      <c r="O271" s="1060"/>
      <c r="P271" s="1060"/>
      <c r="Q271" s="1060"/>
      <c r="R271" s="1548"/>
      <c r="S271" s="1060"/>
      <c r="T271" s="1060"/>
      <c r="U271" s="469"/>
      <c r="V271" s="1060"/>
      <c r="W271" s="1060"/>
      <c r="X271" s="1060"/>
      <c r="Y271" s="1060"/>
      <c r="Z271" s="1060"/>
      <c r="AA271" s="1544"/>
      <c r="AB271" s="491"/>
      <c r="AC271" s="491"/>
      <c r="AD271" s="491"/>
      <c r="AE271" s="491"/>
    </row>
    <row r="272" spans="1:31" s="2013" customFormat="1" ht="11.25" customHeight="1">
      <c r="A272" s="895"/>
      <c r="B272" s="1548"/>
      <c r="C272" s="1548"/>
      <c r="D272" s="276"/>
      <c r="K272" s="1060"/>
      <c r="L272" s="1548"/>
      <c r="M272" s="1548"/>
      <c r="N272" s="1060"/>
      <c r="O272" s="1060"/>
      <c r="P272" s="1060"/>
      <c r="Q272" s="1060"/>
      <c r="R272" s="1548"/>
      <c r="S272" s="1060"/>
      <c r="T272" s="1060"/>
      <c r="U272" s="469"/>
      <c r="V272" s="1060"/>
      <c r="W272" s="1060"/>
      <c r="X272" s="1060"/>
      <c r="Y272" s="1060"/>
      <c r="Z272" s="1060"/>
      <c r="AA272" s="1544"/>
      <c r="AB272" s="491"/>
      <c r="AC272" s="491"/>
      <c r="AD272" s="491"/>
      <c r="AE272" s="491"/>
    </row>
    <row r="273" spans="1:31" s="2013" customFormat="1" ht="11.25" customHeight="1">
      <c r="A273" s="895"/>
      <c r="B273" s="1548"/>
      <c r="C273" s="1548"/>
      <c r="D273" s="276"/>
      <c r="K273" s="1060"/>
      <c r="L273" s="1548"/>
      <c r="M273" s="1548"/>
      <c r="N273" s="1060"/>
      <c r="O273" s="1060"/>
      <c r="P273" s="1060"/>
      <c r="Q273" s="1060"/>
      <c r="R273" s="1548"/>
      <c r="S273" s="1060"/>
      <c r="T273" s="1060"/>
      <c r="U273" s="469"/>
      <c r="V273" s="1060"/>
      <c r="W273" s="1060"/>
      <c r="X273" s="1060"/>
      <c r="Y273" s="1060"/>
      <c r="Z273" s="1060"/>
      <c r="AA273" s="1544"/>
      <c r="AB273" s="491"/>
      <c r="AC273" s="491"/>
      <c r="AD273" s="491"/>
      <c r="AE273" s="491"/>
    </row>
    <row r="274" spans="1:31" s="2013" customFormat="1" ht="11.25" customHeight="1">
      <c r="A274" s="895"/>
      <c r="B274" s="1548"/>
      <c r="C274" s="1548"/>
      <c r="D274" s="276"/>
      <c r="K274" s="1060"/>
      <c r="L274" s="1548"/>
      <c r="M274" s="1548"/>
      <c r="N274" s="1060"/>
      <c r="O274" s="1060"/>
      <c r="P274" s="1060"/>
      <c r="Q274" s="1060"/>
      <c r="R274" s="1548"/>
      <c r="S274" s="1060"/>
      <c r="T274" s="1060"/>
      <c r="U274" s="469"/>
      <c r="V274" s="1060"/>
      <c r="W274" s="1060"/>
      <c r="X274" s="1060"/>
      <c r="Y274" s="1060"/>
      <c r="Z274" s="1060"/>
      <c r="AA274" s="1544"/>
      <c r="AB274" s="491"/>
      <c r="AC274" s="491"/>
      <c r="AD274" s="491"/>
      <c r="AE274" s="491"/>
    </row>
    <row r="275" spans="1:31" s="2013" customFormat="1" ht="11.25" customHeight="1">
      <c r="A275" s="895"/>
      <c r="B275" s="1548"/>
      <c r="C275" s="1548"/>
      <c r="D275" s="276"/>
      <c r="K275" s="1060"/>
      <c r="L275" s="1548"/>
      <c r="M275" s="1548"/>
      <c r="N275" s="1060"/>
      <c r="O275" s="1060"/>
      <c r="P275" s="1060"/>
      <c r="Q275" s="1060"/>
      <c r="R275" s="1548"/>
      <c r="S275" s="1060"/>
      <c r="T275" s="1060"/>
      <c r="U275" s="469"/>
      <c r="V275" s="1060"/>
      <c r="W275" s="1060"/>
      <c r="X275" s="1060"/>
      <c r="Y275" s="1060"/>
      <c r="Z275" s="1060"/>
      <c r="AA275" s="1544"/>
      <c r="AB275" s="491"/>
      <c r="AC275" s="491"/>
      <c r="AD275" s="491"/>
      <c r="AE275" s="491"/>
    </row>
    <row r="276" spans="1:31" s="2013" customFormat="1" ht="11.25" customHeight="1">
      <c r="A276" s="895"/>
      <c r="B276" s="1548"/>
      <c r="C276" s="1548"/>
      <c r="D276" s="276"/>
      <c r="K276" s="1060"/>
      <c r="L276" s="1548"/>
      <c r="M276" s="1548"/>
      <c r="N276" s="1060"/>
      <c r="O276" s="1060"/>
      <c r="P276" s="1060"/>
      <c r="Q276" s="1060"/>
      <c r="R276" s="1548"/>
      <c r="S276" s="1060"/>
      <c r="T276" s="1060"/>
      <c r="U276" s="469"/>
      <c r="V276" s="1060"/>
      <c r="W276" s="1060"/>
      <c r="X276" s="1060"/>
      <c r="Y276" s="1060"/>
      <c r="Z276" s="1060"/>
      <c r="AA276" s="1544"/>
      <c r="AB276" s="491"/>
      <c r="AC276" s="491"/>
      <c r="AD276" s="491"/>
      <c r="AE276" s="491"/>
    </row>
    <row r="277" spans="1:31" s="2013" customFormat="1" ht="11.25" customHeight="1">
      <c r="A277" s="895"/>
      <c r="B277" s="1548"/>
      <c r="C277" s="1548"/>
      <c r="D277" s="276"/>
      <c r="K277" s="1060"/>
      <c r="L277" s="1548"/>
      <c r="M277" s="1548"/>
      <c r="N277" s="1060"/>
      <c r="O277" s="1060"/>
      <c r="P277" s="1060"/>
      <c r="Q277" s="1060"/>
      <c r="R277" s="1548"/>
      <c r="S277" s="1060"/>
      <c r="T277" s="1060"/>
      <c r="U277" s="469"/>
      <c r="V277" s="1060"/>
      <c r="W277" s="1060"/>
      <c r="X277" s="1060"/>
      <c r="Y277" s="1060"/>
      <c r="Z277" s="1060"/>
      <c r="AA277" s="1544"/>
      <c r="AB277" s="491"/>
      <c r="AC277" s="491"/>
      <c r="AD277" s="491"/>
      <c r="AE277" s="491"/>
    </row>
    <row r="278" spans="1:31" s="2013" customFormat="1" ht="11.25" customHeight="1">
      <c r="A278" s="895"/>
      <c r="B278" s="1548"/>
      <c r="C278" s="1548"/>
      <c r="D278" s="276"/>
      <c r="K278" s="1060"/>
      <c r="L278" s="1548"/>
      <c r="M278" s="1548"/>
      <c r="N278" s="1060"/>
      <c r="O278" s="1060"/>
      <c r="P278" s="1060"/>
      <c r="Q278" s="1060"/>
      <c r="R278" s="1548"/>
      <c r="S278" s="1060"/>
      <c r="T278" s="1060"/>
      <c r="U278" s="469"/>
      <c r="V278" s="1060"/>
      <c r="W278" s="1060"/>
      <c r="X278" s="1060"/>
      <c r="Y278" s="1060"/>
      <c r="Z278" s="1060"/>
      <c r="AA278" s="1544"/>
      <c r="AB278" s="491"/>
      <c r="AC278" s="491"/>
      <c r="AD278" s="491"/>
      <c r="AE278" s="491"/>
    </row>
    <row r="279" spans="1:31" s="2013" customFormat="1" ht="11.25" customHeight="1">
      <c r="A279" s="895"/>
      <c r="B279" s="1548"/>
      <c r="C279" s="1548"/>
      <c r="D279" s="276"/>
      <c r="K279" s="1060"/>
      <c r="L279" s="1548"/>
      <c r="M279" s="1548"/>
      <c r="N279" s="1060"/>
      <c r="O279" s="1060"/>
      <c r="P279" s="1060"/>
      <c r="Q279" s="1060"/>
      <c r="R279" s="1548"/>
      <c r="S279" s="1060"/>
      <c r="T279" s="1060"/>
      <c r="U279" s="469"/>
      <c r="V279" s="1060"/>
      <c r="W279" s="1060"/>
      <c r="X279" s="1060"/>
      <c r="Y279" s="1060"/>
      <c r="Z279" s="1060"/>
      <c r="AA279" s="1544"/>
      <c r="AB279" s="491"/>
      <c r="AC279" s="491"/>
      <c r="AD279" s="491"/>
      <c r="AE279" s="491"/>
    </row>
    <row r="280" spans="1:31" s="2013" customFormat="1" ht="11.25" customHeight="1">
      <c r="A280" s="895"/>
      <c r="B280" s="1548"/>
      <c r="C280" s="1548"/>
      <c r="D280" s="276"/>
      <c r="K280" s="1060"/>
      <c r="L280" s="1548"/>
      <c r="M280" s="1548"/>
      <c r="N280" s="1060"/>
      <c r="O280" s="1060"/>
      <c r="P280" s="1060"/>
      <c r="Q280" s="1060"/>
      <c r="R280" s="1548"/>
      <c r="S280" s="1060"/>
      <c r="T280" s="1060"/>
      <c r="U280" s="469"/>
      <c r="V280" s="1060"/>
      <c r="W280" s="1060"/>
      <c r="X280" s="1060"/>
      <c r="Y280" s="1060"/>
      <c r="Z280" s="1060"/>
      <c r="AA280" s="1544"/>
      <c r="AB280" s="491"/>
      <c r="AC280" s="491"/>
      <c r="AD280" s="491"/>
      <c r="AE280" s="491"/>
    </row>
    <row r="281" spans="1:31" s="2013" customFormat="1" ht="11.25" customHeight="1">
      <c r="A281" s="895"/>
      <c r="B281" s="1548"/>
      <c r="C281" s="1548"/>
      <c r="D281" s="276"/>
      <c r="K281" s="1060"/>
      <c r="L281" s="1548"/>
      <c r="M281" s="1548"/>
      <c r="N281" s="1060"/>
      <c r="O281" s="1060"/>
      <c r="P281" s="1060"/>
      <c r="Q281" s="1060"/>
      <c r="R281" s="1548"/>
      <c r="S281" s="1060"/>
      <c r="T281" s="1060"/>
      <c r="U281" s="469"/>
      <c r="V281" s="1060"/>
      <c r="W281" s="1060"/>
      <c r="X281" s="1060"/>
      <c r="Y281" s="1060"/>
      <c r="Z281" s="1060"/>
      <c r="AA281" s="1544"/>
      <c r="AB281" s="491"/>
      <c r="AC281" s="491"/>
      <c r="AD281" s="491"/>
      <c r="AE281" s="491"/>
    </row>
    <row r="282" spans="1:31" s="2013" customFormat="1" ht="11.25" customHeight="1">
      <c r="A282" s="895"/>
      <c r="B282" s="1548"/>
      <c r="C282" s="1548"/>
      <c r="D282" s="276"/>
      <c r="K282" s="1060"/>
      <c r="L282" s="1548"/>
      <c r="M282" s="1548"/>
      <c r="N282" s="1060"/>
      <c r="O282" s="1060"/>
      <c r="P282" s="1060"/>
      <c r="Q282" s="1060"/>
      <c r="R282" s="1548"/>
      <c r="S282" s="1060"/>
      <c r="T282" s="1060"/>
      <c r="U282" s="469"/>
      <c r="V282" s="1060"/>
      <c r="W282" s="1060"/>
      <c r="X282" s="1060"/>
      <c r="Y282" s="1060"/>
      <c r="Z282" s="1060"/>
      <c r="AA282" s="1544"/>
      <c r="AB282" s="491"/>
      <c r="AC282" s="491"/>
      <c r="AD282" s="491"/>
      <c r="AE282" s="491"/>
    </row>
    <row r="283" spans="1:31" s="2013" customFormat="1" ht="11.25" customHeight="1">
      <c r="A283" s="895"/>
      <c r="B283" s="1548"/>
      <c r="C283" s="1548"/>
      <c r="D283" s="276"/>
      <c r="K283" s="1060"/>
      <c r="L283" s="1548"/>
      <c r="M283" s="1548"/>
      <c r="N283" s="1060"/>
      <c r="O283" s="1060"/>
      <c r="P283" s="1060"/>
      <c r="Q283" s="1060"/>
      <c r="R283" s="1548"/>
      <c r="S283" s="1060"/>
      <c r="T283" s="1060"/>
      <c r="U283" s="469"/>
      <c r="V283" s="1060"/>
      <c r="W283" s="1060"/>
      <c r="X283" s="1060"/>
      <c r="Y283" s="1060"/>
      <c r="Z283" s="1060"/>
      <c r="AA283" s="1544"/>
      <c r="AB283" s="491"/>
      <c r="AC283" s="491"/>
      <c r="AD283" s="491"/>
      <c r="AE283" s="491"/>
    </row>
    <row r="284" spans="1:31" s="2013" customFormat="1" ht="11.25" customHeight="1">
      <c r="A284" s="895"/>
      <c r="B284" s="1548"/>
      <c r="C284" s="1548"/>
      <c r="D284" s="276"/>
      <c r="K284" s="1060"/>
      <c r="L284" s="1548"/>
      <c r="M284" s="1548"/>
      <c r="N284" s="1060"/>
      <c r="O284" s="1060"/>
      <c r="P284" s="1060"/>
      <c r="Q284" s="1060"/>
      <c r="R284" s="1548"/>
      <c r="S284" s="1060"/>
      <c r="T284" s="1060"/>
      <c r="U284" s="469"/>
      <c r="V284" s="1060"/>
      <c r="W284" s="1060"/>
      <c r="X284" s="1060"/>
      <c r="Y284" s="1060"/>
      <c r="Z284" s="1060"/>
      <c r="AA284" s="1544"/>
      <c r="AB284" s="491"/>
      <c r="AC284" s="491"/>
      <c r="AD284" s="491"/>
      <c r="AE284" s="491"/>
    </row>
    <row r="285" spans="1:31" s="2013" customFormat="1" ht="11.25" customHeight="1">
      <c r="A285" s="895"/>
      <c r="B285" s="1548"/>
      <c r="C285" s="1548"/>
      <c r="D285" s="276"/>
      <c r="K285" s="1060"/>
      <c r="L285" s="1548"/>
      <c r="M285" s="1548"/>
      <c r="N285" s="1060"/>
      <c r="O285" s="1060"/>
      <c r="P285" s="1060"/>
      <c r="Q285" s="1060"/>
      <c r="R285" s="1548"/>
      <c r="S285" s="1060"/>
      <c r="T285" s="1060"/>
      <c r="U285" s="469"/>
      <c r="V285" s="1060"/>
      <c r="W285" s="1060"/>
      <c r="X285" s="1060"/>
      <c r="Y285" s="1060"/>
      <c r="Z285" s="1060"/>
      <c r="AA285" s="1544"/>
      <c r="AB285" s="491"/>
      <c r="AC285" s="491"/>
      <c r="AD285" s="491"/>
      <c r="AE285" s="491"/>
    </row>
    <row r="286" spans="1:31" s="2013" customFormat="1" ht="11.25" customHeight="1">
      <c r="A286" s="895"/>
      <c r="B286" s="1548"/>
      <c r="C286" s="1548"/>
      <c r="D286" s="276"/>
      <c r="K286" s="1060"/>
      <c r="L286" s="1548"/>
      <c r="M286" s="1548"/>
      <c r="N286" s="1060"/>
      <c r="O286" s="1060"/>
      <c r="P286" s="1060"/>
      <c r="Q286" s="1060"/>
      <c r="R286" s="1548"/>
      <c r="S286" s="1060"/>
      <c r="T286" s="1060"/>
      <c r="U286" s="469"/>
      <c r="V286" s="1060"/>
      <c r="W286" s="1060"/>
      <c r="X286" s="1060"/>
      <c r="Y286" s="1060"/>
      <c r="Z286" s="1060"/>
      <c r="AA286" s="1544"/>
      <c r="AB286" s="491"/>
      <c r="AC286" s="491"/>
      <c r="AD286" s="491"/>
      <c r="AE286" s="491"/>
    </row>
    <row r="287" spans="1:31" s="2013" customFormat="1" ht="11.25" customHeight="1">
      <c r="A287" s="895"/>
      <c r="B287" s="1548"/>
      <c r="C287" s="1548"/>
      <c r="D287" s="276"/>
      <c r="K287" s="1060"/>
      <c r="L287" s="1548"/>
      <c r="M287" s="1548"/>
      <c r="N287" s="1060"/>
      <c r="O287" s="1060"/>
      <c r="P287" s="1060"/>
      <c r="Q287" s="1060"/>
      <c r="R287" s="1548"/>
      <c r="S287" s="1060"/>
      <c r="T287" s="1060"/>
      <c r="U287" s="469"/>
      <c r="V287" s="1060"/>
      <c r="W287" s="1060"/>
      <c r="X287" s="1060"/>
      <c r="Y287" s="1060"/>
      <c r="Z287" s="1060"/>
      <c r="AA287" s="1544"/>
      <c r="AB287" s="491"/>
      <c r="AC287" s="491"/>
      <c r="AD287" s="491"/>
      <c r="AE287" s="491"/>
    </row>
    <row r="288" spans="1:31" s="2013" customFormat="1" ht="11.25" customHeight="1">
      <c r="A288" s="895"/>
      <c r="B288" s="1548"/>
      <c r="C288" s="1548"/>
      <c r="D288" s="276"/>
      <c r="K288" s="1060"/>
      <c r="L288" s="1548"/>
      <c r="M288" s="1548"/>
      <c r="N288" s="1060"/>
      <c r="O288" s="1060"/>
      <c r="P288" s="1060"/>
      <c r="Q288" s="1060"/>
      <c r="R288" s="1548"/>
      <c r="S288" s="1060"/>
      <c r="T288" s="1060"/>
      <c r="U288" s="469"/>
      <c r="V288" s="1060"/>
      <c r="W288" s="1060"/>
      <c r="X288" s="1060"/>
      <c r="Y288" s="1060"/>
      <c r="Z288" s="1060"/>
      <c r="AA288" s="1544"/>
      <c r="AB288" s="491"/>
      <c r="AC288" s="491"/>
      <c r="AD288" s="491"/>
      <c r="AE288" s="491"/>
    </row>
    <row r="292" spans="1:31" ht="11.25" customHeight="1">
      <c r="A292" s="898"/>
      <c r="B292" s="1543"/>
      <c r="D292" s="1543"/>
      <c r="K292" s="1543"/>
      <c r="N292" s="1543"/>
      <c r="O292" s="1543"/>
      <c r="P292" s="1543"/>
      <c r="Q292" s="1543"/>
      <c r="S292" s="1543"/>
      <c r="T292" s="1543"/>
      <c r="U292" s="1543"/>
      <c r="V292" s="1543"/>
      <c r="W292" s="1543"/>
      <c r="X292" s="1543"/>
      <c r="Y292" s="1543"/>
      <c r="Z292" s="1543"/>
      <c r="AA292" s="1543"/>
      <c r="AB292" s="1543"/>
      <c r="AC292" s="1543"/>
      <c r="AD292" s="1543"/>
      <c r="AE292" s="1543"/>
    </row>
    <row r="293" spans="1:31" ht="11.25" customHeight="1">
      <c r="A293" s="898"/>
      <c r="B293" s="1543"/>
      <c r="D293" s="1543"/>
      <c r="K293" s="1543"/>
      <c r="N293" s="1543"/>
      <c r="O293" s="1543"/>
      <c r="P293" s="1543"/>
      <c r="Q293" s="1543"/>
      <c r="S293" s="1543"/>
      <c r="T293" s="1543"/>
      <c r="U293" s="1543"/>
      <c r="V293" s="1543"/>
      <c r="W293" s="1543"/>
      <c r="X293" s="1543"/>
      <c r="Y293" s="1543"/>
      <c r="Z293" s="1543"/>
      <c r="AA293" s="1543"/>
      <c r="AB293" s="1543"/>
      <c r="AC293" s="1543"/>
      <c r="AD293" s="1543"/>
      <c r="AE293" s="1543"/>
    </row>
    <row r="294" spans="1:31" ht="11.25" customHeight="1">
      <c r="A294" s="898"/>
      <c r="B294" s="1543"/>
      <c r="D294" s="1543"/>
      <c r="K294" s="1543"/>
      <c r="N294" s="1543"/>
      <c r="O294" s="1543"/>
      <c r="P294" s="1543"/>
      <c r="Q294" s="1543"/>
      <c r="S294" s="1543"/>
      <c r="T294" s="1543"/>
      <c r="U294" s="1543"/>
      <c r="V294" s="1543"/>
      <c r="W294" s="1543"/>
      <c r="X294" s="1543"/>
      <c r="Y294" s="1543"/>
      <c r="Z294" s="1543"/>
      <c r="AA294" s="1543"/>
      <c r="AB294" s="1543"/>
      <c r="AC294" s="1543"/>
      <c r="AD294" s="1543"/>
      <c r="AE294" s="1543"/>
    </row>
    <row r="295" spans="1:31" ht="11.25" customHeight="1">
      <c r="A295" s="898"/>
      <c r="B295" s="1543"/>
      <c r="D295" s="1543"/>
      <c r="K295" s="1543"/>
      <c r="N295" s="1543"/>
      <c r="O295" s="1543"/>
      <c r="P295" s="1543"/>
      <c r="Q295" s="1543"/>
      <c r="S295" s="1543"/>
      <c r="T295" s="1543"/>
      <c r="U295" s="1543"/>
      <c r="V295" s="1543"/>
      <c r="W295" s="1543"/>
      <c r="X295" s="1543"/>
      <c r="Y295" s="1543"/>
      <c r="Z295" s="1543"/>
      <c r="AA295" s="1543"/>
      <c r="AB295" s="1543"/>
      <c r="AC295" s="1543"/>
      <c r="AD295" s="1543"/>
      <c r="AE295" s="1543"/>
    </row>
    <row r="296" spans="1:31" ht="11.25" customHeight="1">
      <c r="A296" s="898"/>
      <c r="B296" s="1543"/>
      <c r="D296" s="1543"/>
      <c r="K296" s="1543"/>
      <c r="N296" s="1543"/>
      <c r="O296" s="1543"/>
      <c r="P296" s="1543"/>
      <c r="Q296" s="1543"/>
      <c r="S296" s="1543"/>
      <c r="T296" s="1543"/>
      <c r="U296" s="1543"/>
      <c r="V296" s="1543"/>
      <c r="W296" s="1543"/>
      <c r="X296" s="1543"/>
      <c r="Y296" s="1543"/>
      <c r="Z296" s="1543"/>
      <c r="AA296" s="1543"/>
      <c r="AB296" s="1543"/>
      <c r="AC296" s="1543"/>
      <c r="AD296" s="1543"/>
      <c r="AE296" s="1543"/>
    </row>
    <row r="297" spans="1:31" ht="11.25" customHeight="1">
      <c r="A297" s="898"/>
      <c r="B297" s="1543"/>
      <c r="D297" s="1543"/>
      <c r="K297" s="1543"/>
      <c r="N297" s="1543"/>
      <c r="O297" s="1543"/>
      <c r="P297" s="1543"/>
      <c r="Q297" s="1543"/>
      <c r="S297" s="1543"/>
      <c r="T297" s="1543"/>
      <c r="U297" s="1543"/>
      <c r="V297" s="1543"/>
      <c r="W297" s="1543"/>
      <c r="X297" s="1543"/>
      <c r="Y297" s="1543"/>
      <c r="Z297" s="1543"/>
      <c r="AA297" s="1543"/>
      <c r="AB297" s="1543"/>
      <c r="AC297" s="1543"/>
      <c r="AD297" s="1543"/>
      <c r="AE297" s="1543"/>
    </row>
    <row r="298" spans="1:31" ht="11.25" customHeight="1">
      <c r="A298" s="898"/>
      <c r="B298" s="1543"/>
      <c r="D298" s="1543"/>
      <c r="K298" s="1543"/>
      <c r="N298" s="1543"/>
      <c r="O298" s="1543"/>
      <c r="P298" s="1543"/>
      <c r="Q298" s="1543"/>
      <c r="S298" s="1543"/>
      <c r="T298" s="1543"/>
      <c r="U298" s="1543"/>
      <c r="V298" s="1543"/>
      <c r="W298" s="1543"/>
      <c r="X298" s="1543"/>
      <c r="Y298" s="1543"/>
      <c r="Z298" s="1543"/>
      <c r="AA298" s="1543"/>
      <c r="AB298" s="1543"/>
      <c r="AC298" s="1543"/>
      <c r="AD298" s="1543"/>
      <c r="AE298" s="1543"/>
    </row>
    <row r="299" spans="1:31" ht="11.25" customHeight="1">
      <c r="A299" s="898"/>
      <c r="B299" s="1543"/>
      <c r="D299" s="1543"/>
      <c r="K299" s="1543"/>
      <c r="N299" s="1543"/>
      <c r="O299" s="1543"/>
      <c r="P299" s="1543"/>
      <c r="Q299" s="1543"/>
      <c r="S299" s="1543"/>
      <c r="T299" s="1543"/>
      <c r="U299" s="1543"/>
      <c r="V299" s="1543"/>
      <c r="W299" s="1543"/>
      <c r="X299" s="1543"/>
      <c r="Y299" s="1543"/>
      <c r="Z299" s="1543"/>
      <c r="AA299" s="1543"/>
      <c r="AB299" s="1543"/>
      <c r="AC299" s="1543"/>
      <c r="AD299" s="1543"/>
      <c r="AE299" s="1543"/>
    </row>
    <row r="300" spans="1:31" ht="11.25" customHeight="1">
      <c r="A300" s="898"/>
      <c r="B300" s="1543"/>
      <c r="D300" s="1543"/>
      <c r="K300" s="1543"/>
      <c r="N300" s="1543"/>
      <c r="O300" s="1543"/>
      <c r="P300" s="1543"/>
      <c r="Q300" s="1543"/>
      <c r="S300" s="1543"/>
      <c r="T300" s="1543"/>
      <c r="U300" s="1543"/>
      <c r="V300" s="1543"/>
      <c r="W300" s="1543"/>
      <c r="X300" s="1543"/>
      <c r="Y300" s="1543"/>
      <c r="Z300" s="1543"/>
      <c r="AA300" s="1543"/>
      <c r="AB300" s="1543"/>
      <c r="AC300" s="1543"/>
      <c r="AD300" s="1543"/>
      <c r="AE300" s="1543"/>
    </row>
    <row r="301" spans="1:31" ht="11.25" customHeight="1">
      <c r="A301" s="898"/>
      <c r="B301" s="1543"/>
      <c r="D301" s="1543"/>
      <c r="K301" s="1543"/>
      <c r="N301" s="1543"/>
      <c r="O301" s="1543"/>
      <c r="P301" s="1543"/>
      <c r="Q301" s="1543"/>
      <c r="S301" s="1543"/>
      <c r="T301" s="1543"/>
      <c r="U301" s="1543"/>
      <c r="V301" s="1543"/>
      <c r="W301" s="1543"/>
      <c r="X301" s="1543"/>
      <c r="Y301" s="1543"/>
      <c r="Z301" s="1543"/>
      <c r="AA301" s="1543"/>
      <c r="AB301" s="1543"/>
      <c r="AC301" s="1543"/>
      <c r="AD301" s="1543"/>
      <c r="AE301" s="1543"/>
    </row>
    <row r="302" spans="1:31" ht="11.25" customHeight="1">
      <c r="A302" s="898"/>
      <c r="B302" s="1543"/>
      <c r="D302" s="1543"/>
      <c r="K302" s="1543"/>
      <c r="N302" s="1543"/>
      <c r="O302" s="1543"/>
      <c r="P302" s="1543"/>
      <c r="Q302" s="1543"/>
      <c r="S302" s="1543"/>
      <c r="T302" s="1543"/>
      <c r="U302" s="1543"/>
      <c r="V302" s="1543"/>
      <c r="W302" s="1543"/>
      <c r="X302" s="1543"/>
      <c r="Y302" s="1543"/>
      <c r="Z302" s="1543"/>
      <c r="AA302" s="1543"/>
      <c r="AB302" s="1543"/>
      <c r="AC302" s="1543"/>
      <c r="AD302" s="1543"/>
      <c r="AE302" s="1543"/>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1">
    <dataValidation allowBlank="1" showInputMessage="1" showErrorMessage="1" prompt="Для выбора выполните двойной щелчок левой клавиши мыши по соответствующей ячейке." sqref="H68:I68 H66:I66" xr:uid="{00000000-0002-0000-1D00-000000000000}"/>
    <dataValidation type="decimal" allowBlank="1" showErrorMessage="1" errorTitle="Ошибка" error="Введите значение от 0 до 100%" sqref="H90:I90 H95:I95" xr:uid="{00000000-0002-0000-1D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1D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1D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xr:uid="{00000000-0002-0000-1D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1D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1D00-000006000000}">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1D00-000007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1D00-000008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1D00-000009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1D00-00000A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F390D-2932-EE17-B198-4CF52E8181D5}">
  <sheetPr>
    <tabColor theme="9" tint="-0.249977111117893"/>
  </sheetPr>
  <dimension ref="A1:CE28"/>
  <sheetViews>
    <sheetView showGridLines="0" topLeftCell="C4" zoomScale="90" workbookViewId="0"/>
  </sheetViews>
  <sheetFormatPr defaultColWidth="9.140625" defaultRowHeight="11.25" customHeight="1"/>
  <cols>
    <col min="1" max="1" width="14.7109375" style="2018" hidden="1" customWidth="1"/>
    <col min="2" max="2" width="17" style="1920" hidden="1" customWidth="1"/>
    <col min="3" max="3" width="3.7109375" style="1922" customWidth="1"/>
    <col min="4" max="4" width="1.85546875" style="1922" hidden="1" customWidth="1"/>
    <col min="5" max="6" width="7.7109375" style="1922" customWidth="1"/>
    <col min="7" max="7" width="29.7109375" style="1922" customWidth="1"/>
    <col min="8" max="8" width="3.7109375" style="1922" customWidth="1"/>
    <col min="9" max="9" width="5.42578125" style="1922" customWidth="1"/>
    <col min="10" max="10" width="24.5703125" style="1922" customWidth="1"/>
    <col min="11" max="11" width="24.42578125" style="1922" customWidth="1"/>
    <col min="12" max="12" width="3.7109375" style="1922" customWidth="1"/>
    <col min="13" max="13" width="6.28515625" style="1922" customWidth="1"/>
    <col min="14" max="14" width="25.85546875" style="1922" customWidth="1"/>
    <col min="15" max="18" width="18.7109375" style="1922" customWidth="1"/>
    <col min="19" max="19" width="93.42578125" style="1922" customWidth="1"/>
    <col min="20" max="20" width="10.5703125" style="1922" customWidth="1"/>
    <col min="21" max="21" width="10.5703125" style="2019" customWidth="1"/>
    <col min="22" max="22" width="11.7109375" style="2019" customWidth="1"/>
    <col min="23" max="23" width="10.5703125" style="2020" customWidth="1"/>
    <col min="24" max="27" width="10.5703125" style="1920" customWidth="1"/>
    <col min="28" max="83" width="9.140625" style="1922"/>
  </cols>
  <sheetData>
    <row r="1" spans="1:83" ht="11.25" hidden="1" customHeight="1"/>
    <row r="2" spans="1:83" ht="11.25" hidden="1" customHeight="1"/>
    <row r="3" spans="1:83" ht="11.25" hidden="1" customHeight="1"/>
    <row r="4" spans="1:83" ht="3" customHeight="1">
      <c r="C4" s="435"/>
      <c r="D4" s="435"/>
      <c r="E4" s="435"/>
      <c r="F4" s="435"/>
      <c r="G4" s="435"/>
      <c r="H4" s="435"/>
      <c r="I4" s="435"/>
      <c r="J4" s="435"/>
      <c r="K4" s="87"/>
      <c r="L4" s="87"/>
      <c r="M4" s="87"/>
    </row>
    <row r="5" spans="1:83" ht="28.5" customHeight="1">
      <c r="C5" s="435"/>
      <c r="D5" s="964"/>
      <c r="E5" s="225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54"/>
      <c r="G5" s="2254"/>
      <c r="H5" s="2254"/>
      <c r="I5" s="2254"/>
      <c r="J5" s="2254"/>
      <c r="K5" s="2254"/>
      <c r="L5" s="534"/>
      <c r="M5" s="534"/>
    </row>
    <row r="6" spans="1:83" s="1823" customFormat="1" ht="16.5" customHeight="1">
      <c r="A6" s="531"/>
      <c r="B6" s="676"/>
      <c r="C6" s="435"/>
      <c r="D6" s="965"/>
      <c r="E6" s="2200" t="str">
        <f>IF(org=0,"Не определено",org)</f>
        <v>ПАО "Юнипро"</v>
      </c>
      <c r="F6" s="2200"/>
      <c r="G6" s="2200"/>
      <c r="H6" s="2200"/>
      <c r="I6" s="2200"/>
      <c r="J6" s="2200"/>
      <c r="K6" s="2200"/>
      <c r="L6" s="534"/>
      <c r="M6" s="534"/>
      <c r="U6" s="532"/>
      <c r="V6" s="532"/>
      <c r="W6" s="533"/>
      <c r="X6" s="676"/>
      <c r="Y6" s="676"/>
      <c r="Z6" s="676"/>
      <c r="AA6" s="676"/>
    </row>
    <row r="7" spans="1:83" ht="11.25" customHeight="1">
      <c r="C7" s="435"/>
      <c r="D7" s="435"/>
      <c r="E7" s="435"/>
      <c r="F7" s="435"/>
      <c r="G7" s="448"/>
      <c r="H7" s="448"/>
      <c r="I7" s="448"/>
      <c r="J7" s="448"/>
      <c r="K7" s="535"/>
      <c r="L7" s="535"/>
      <c r="M7" s="535"/>
      <c r="R7" s="669"/>
    </row>
    <row r="8" spans="1:83" s="1819" customFormat="1" ht="5.25" customHeight="1">
      <c r="A8" s="542"/>
      <c r="B8" s="491"/>
      <c r="C8" s="276"/>
      <c r="D8" s="276"/>
      <c r="E8" s="276"/>
      <c r="F8" s="276"/>
      <c r="G8" s="884"/>
      <c r="H8" s="884"/>
      <c r="I8" s="884"/>
      <c r="J8" s="884"/>
      <c r="K8" s="925"/>
      <c r="L8" s="925"/>
      <c r="M8" s="925"/>
      <c r="R8" s="926"/>
      <c r="U8" s="532"/>
      <c r="V8" s="532"/>
      <c r="W8" s="543"/>
      <c r="X8" s="491"/>
      <c r="Y8" s="491"/>
      <c r="Z8" s="491"/>
      <c r="AA8" s="491"/>
    </row>
    <row r="9" spans="1:83" ht="18.75" customHeight="1">
      <c r="D9" s="207"/>
      <c r="E9" s="2115" t="s">
        <v>289</v>
      </c>
      <c r="F9" s="2120"/>
      <c r="G9" s="2120"/>
      <c r="H9" s="2120"/>
      <c r="I9" s="2120"/>
      <c r="J9" s="2120"/>
      <c r="K9" s="2120"/>
      <c r="L9" s="2120"/>
      <c r="M9" s="2120"/>
      <c r="N9" s="2120"/>
      <c r="O9" s="2120"/>
      <c r="P9" s="2120"/>
      <c r="Q9" s="2120"/>
      <c r="R9" s="2114"/>
      <c r="S9" s="2143" t="s">
        <v>290</v>
      </c>
      <c r="T9" s="260"/>
    </row>
    <row r="10" spans="1:83" ht="33.75" customHeight="1">
      <c r="D10" s="476" t="s">
        <v>87</v>
      </c>
      <c r="E10" s="2143" t="s">
        <v>87</v>
      </c>
      <c r="F10" s="2143"/>
      <c r="G10" s="447" t="s">
        <v>291</v>
      </c>
      <c r="H10" s="2143" t="s">
        <v>87</v>
      </c>
      <c r="I10" s="2143"/>
      <c r="J10" s="447" t="s">
        <v>586</v>
      </c>
      <c r="K10" s="447" t="s">
        <v>587</v>
      </c>
      <c r="L10" s="2143" t="s">
        <v>87</v>
      </c>
      <c r="M10" s="2143"/>
      <c r="N10" s="447" t="s">
        <v>588</v>
      </c>
      <c r="O10" s="447" t="s">
        <v>589</v>
      </c>
      <c r="P10" s="447" t="s">
        <v>590</v>
      </c>
      <c r="Q10" s="447" t="s">
        <v>591</v>
      </c>
      <c r="R10" s="447" t="s">
        <v>592</v>
      </c>
      <c r="S10" s="2143"/>
      <c r="T10" s="260"/>
    </row>
    <row r="11" spans="1:83" s="1820" customFormat="1" ht="15" hidden="1" customHeight="1">
      <c r="A11" s="959"/>
      <c r="D11" s="932" t="s">
        <v>108</v>
      </c>
      <c r="E11" s="932"/>
      <c r="F11" s="932" t="s">
        <v>109</v>
      </c>
      <c r="G11" s="932" t="s">
        <v>89</v>
      </c>
      <c r="H11" s="932"/>
      <c r="I11" s="932" t="s">
        <v>90</v>
      </c>
      <c r="J11" s="932" t="s">
        <v>110</v>
      </c>
      <c r="K11" s="932" t="s">
        <v>91</v>
      </c>
      <c r="L11" s="932"/>
      <c r="M11" s="932" t="s">
        <v>92</v>
      </c>
      <c r="N11" s="932" t="s">
        <v>111</v>
      </c>
      <c r="O11" s="932" t="s">
        <v>147</v>
      </c>
      <c r="P11" s="932" t="s">
        <v>148</v>
      </c>
      <c r="Q11" s="932" t="s">
        <v>149</v>
      </c>
      <c r="R11" s="932" t="s">
        <v>150</v>
      </c>
      <c r="S11" s="932" t="s">
        <v>151</v>
      </c>
      <c r="U11" s="532"/>
      <c r="V11" s="532"/>
      <c r="W11" s="532"/>
    </row>
    <row r="12" spans="1:83" s="1825" customFormat="1" ht="0.75" customHeight="1">
      <c r="A12" s="536"/>
      <c r="B12" s="289"/>
      <c r="D12" s="473"/>
      <c r="E12" s="271"/>
      <c r="F12" s="271"/>
      <c r="Q12" s="537"/>
      <c r="R12" s="538"/>
      <c r="T12" s="539"/>
      <c r="U12" s="540"/>
      <c r="V12" s="540"/>
      <c r="W12" s="541"/>
      <c r="X12" s="289"/>
      <c r="Y12" s="289"/>
      <c r="Z12" s="289"/>
      <c r="AA12" s="289"/>
    </row>
    <row r="13" spans="1:83" s="1819" customFormat="1" ht="0.75" customHeight="1">
      <c r="A13" s="542"/>
      <c r="B13" s="491"/>
      <c r="D13" s="473" t="s">
        <v>367</v>
      </c>
      <c r="E13" s="485"/>
      <c r="F13" s="485"/>
      <c r="G13" s="485"/>
      <c r="H13" s="485"/>
      <c r="I13" s="485"/>
      <c r="J13" s="485"/>
      <c r="K13" s="485"/>
      <c r="L13" s="485"/>
      <c r="M13" s="485"/>
      <c r="N13" s="485"/>
      <c r="O13" s="485"/>
      <c r="P13" s="485"/>
      <c r="Q13" s="485"/>
      <c r="R13" s="485"/>
      <c r="T13" s="260"/>
      <c r="U13" s="532"/>
      <c r="V13" s="532"/>
      <c r="W13" s="543"/>
      <c r="X13" s="491"/>
      <c r="Y13" s="491"/>
      <c r="Z13" s="491"/>
      <c r="AA13" s="491"/>
    </row>
    <row r="14" spans="1:83" s="1842" customFormat="1" ht="15" hidden="1" customHeight="1">
      <c r="A14" s="544" t="s">
        <v>116</v>
      </c>
      <c r="B14" s="545"/>
      <c r="C14" s="545"/>
      <c r="D14" s="2355" t="s">
        <v>108</v>
      </c>
      <c r="E14" s="2352" t="s">
        <v>104</v>
      </c>
      <c r="F14" s="2353"/>
      <c r="G14" s="2354"/>
      <c r="H14" s="2358">
        <f>IF(A14="","",INDEX(DIFFERENTIATION_UNMERGE_VD,MATCH(A14,DIFFERENTIATION_ID_DIFF,0)))</f>
        <v>0</v>
      </c>
      <c r="I14" s="2358"/>
      <c r="J14" s="2358"/>
      <c r="K14" s="2358"/>
      <c r="L14" s="2358"/>
      <c r="M14" s="2358"/>
      <c r="N14" s="2358"/>
      <c r="O14" s="2358"/>
      <c r="P14" s="2358"/>
      <c r="Q14" s="2358"/>
      <c r="R14" s="2358"/>
      <c r="S14" s="638"/>
      <c r="T14" s="635"/>
      <c r="U14" s="546"/>
      <c r="V14" s="546"/>
      <c r="W14" s="547"/>
      <c r="X14" s="547"/>
      <c r="Y14" s="547"/>
      <c r="Z14" s="547"/>
      <c r="AA14" s="548"/>
      <c r="AB14" s="549"/>
      <c r="AC14" s="2350"/>
      <c r="AD14" s="550"/>
      <c r="AE14" s="551" t="s">
        <v>24</v>
      </c>
      <c r="AF14" s="551"/>
      <c r="AG14" s="552" t="s">
        <v>593</v>
      </c>
      <c r="AH14" s="553">
        <v>3</v>
      </c>
      <c r="AI14" s="546"/>
      <c r="AJ14" s="546"/>
      <c r="AK14" s="546"/>
      <c r="AL14" s="546"/>
      <c r="AM14" s="546"/>
      <c r="AN14" s="546"/>
      <c r="AO14" s="546"/>
      <c r="AP14" s="546"/>
      <c r="AQ14" s="546"/>
      <c r="AR14" s="546"/>
      <c r="AS14" s="546"/>
      <c r="AT14" s="546"/>
      <c r="AU14" s="546"/>
      <c r="AV14" s="546"/>
      <c r="AW14" s="546"/>
      <c r="AX14" s="546"/>
      <c r="AY14" s="546"/>
      <c r="AZ14" s="546"/>
      <c r="BA14" s="546"/>
      <c r="BB14" s="546"/>
      <c r="BC14" s="546"/>
      <c r="BD14" s="546"/>
      <c r="BE14" s="546"/>
      <c r="BF14" s="546"/>
      <c r="BG14" s="546"/>
      <c r="BH14" s="546"/>
      <c r="BI14" s="546"/>
      <c r="BJ14" s="546"/>
      <c r="BK14" s="546"/>
      <c r="BL14" s="546"/>
      <c r="BM14" s="546"/>
      <c r="BN14" s="546"/>
      <c r="BO14" s="546"/>
      <c r="BP14" s="546"/>
      <c r="BQ14" s="546"/>
      <c r="BR14" s="546"/>
      <c r="BS14" s="546"/>
      <c r="BT14" s="546"/>
      <c r="BU14" s="546"/>
      <c r="BV14" s="547"/>
      <c r="BW14" s="547"/>
      <c r="BX14" s="547"/>
      <c r="BY14" s="547"/>
      <c r="BZ14" s="547"/>
      <c r="CA14" s="547"/>
      <c r="CB14" s="547"/>
      <c r="CC14" s="547"/>
      <c r="CD14" s="547"/>
      <c r="CE14" s="547"/>
    </row>
    <row r="15" spans="1:83" s="1842" customFormat="1" ht="15" hidden="1" customHeight="1">
      <c r="A15" s="544"/>
      <c r="B15" s="545"/>
      <c r="C15" s="545"/>
      <c r="D15" s="2356"/>
      <c r="E15" s="2352" t="s">
        <v>548</v>
      </c>
      <c r="F15" s="2353"/>
      <c r="G15" s="2354"/>
      <c r="H15" s="2358" t="str">
        <f>IF(A14="","",INDEX(DIFFERENTIATION_UNMERGE_AREA,MATCH(A14,DIFFERENTIATION_ID_DIFF,0)))</f>
        <v/>
      </c>
      <c r="I15" s="2358"/>
      <c r="J15" s="2358"/>
      <c r="K15" s="2358"/>
      <c r="L15" s="2358"/>
      <c r="M15" s="2358"/>
      <c r="N15" s="2358"/>
      <c r="O15" s="2358"/>
      <c r="P15" s="2358"/>
      <c r="Q15" s="2358"/>
      <c r="R15" s="2358"/>
      <c r="S15" s="638"/>
      <c r="T15" s="635"/>
      <c r="U15" s="546"/>
      <c r="V15" s="546"/>
      <c r="W15" s="547"/>
      <c r="X15" s="547"/>
      <c r="Y15" s="547"/>
      <c r="Z15" s="547"/>
      <c r="AA15" s="548"/>
      <c r="AB15" s="549"/>
      <c r="AC15" s="2350"/>
      <c r="AD15" s="550"/>
      <c r="AE15" s="551"/>
      <c r="AF15" s="551"/>
      <c r="AG15" s="552"/>
      <c r="AH15" s="553"/>
      <c r="AI15" s="546"/>
      <c r="AJ15" s="546"/>
      <c r="AK15" s="546"/>
      <c r="AL15" s="546"/>
      <c r="AM15" s="546"/>
      <c r="AN15" s="546"/>
      <c r="AO15" s="546"/>
      <c r="AP15" s="546"/>
      <c r="AQ15" s="546"/>
      <c r="AR15" s="546"/>
      <c r="AS15" s="546"/>
      <c r="AT15" s="546"/>
      <c r="AU15" s="546"/>
      <c r="AV15" s="546"/>
      <c r="AW15" s="546"/>
      <c r="AX15" s="546"/>
      <c r="AY15" s="546"/>
      <c r="AZ15" s="546"/>
      <c r="BA15" s="546"/>
      <c r="BB15" s="546"/>
      <c r="BC15" s="546"/>
      <c r="BD15" s="546"/>
      <c r="BE15" s="546"/>
      <c r="BF15" s="546"/>
      <c r="BG15" s="546"/>
      <c r="BH15" s="546"/>
      <c r="BI15" s="546"/>
      <c r="BJ15" s="546"/>
      <c r="BK15" s="546"/>
      <c r="BL15" s="546"/>
      <c r="BM15" s="546"/>
      <c r="BN15" s="546"/>
      <c r="BO15" s="546"/>
      <c r="BP15" s="546"/>
      <c r="BQ15" s="546"/>
      <c r="BR15" s="546"/>
      <c r="BS15" s="546"/>
      <c r="BT15" s="546"/>
      <c r="BU15" s="546"/>
      <c r="BV15" s="547"/>
      <c r="BW15" s="547"/>
      <c r="BX15" s="547"/>
      <c r="BY15" s="547"/>
      <c r="BZ15" s="547"/>
      <c r="CA15" s="547"/>
      <c r="CB15" s="547"/>
      <c r="CC15" s="547"/>
      <c r="CD15" s="547"/>
      <c r="CE15" s="547"/>
    </row>
    <row r="16" spans="1:83" s="1842" customFormat="1" ht="15" hidden="1" customHeight="1">
      <c r="A16" s="544"/>
      <c r="B16" s="545"/>
      <c r="C16" s="545"/>
      <c r="D16" s="2356"/>
      <c r="E16" s="2352" t="s">
        <v>549</v>
      </c>
      <c r="F16" s="2353"/>
      <c r="G16" s="2354"/>
      <c r="H16" s="2358" t="str">
        <f>IF(A14="","",INDEX(DIFFERENTIATION_UNMERGE_SYSTEM,MATCH(A14,DIFFERENTIATION_ID_DIFF,0)))</f>
        <v>без дифференциации</v>
      </c>
      <c r="I16" s="2358"/>
      <c r="J16" s="2358"/>
      <c r="K16" s="2358"/>
      <c r="L16" s="2358"/>
      <c r="M16" s="2358"/>
      <c r="N16" s="2358"/>
      <c r="O16" s="2358"/>
      <c r="P16" s="2358"/>
      <c r="Q16" s="2358"/>
      <c r="R16" s="2358"/>
      <c r="S16" s="638"/>
      <c r="T16" s="635"/>
      <c r="U16" s="546"/>
      <c r="V16" s="546"/>
      <c r="W16" s="547"/>
      <c r="X16" s="547"/>
      <c r="Y16" s="547"/>
      <c r="Z16" s="547"/>
      <c r="AA16" s="548"/>
      <c r="AB16" s="549"/>
      <c r="AC16" s="2350"/>
      <c r="AD16" s="550"/>
      <c r="AE16" s="551"/>
      <c r="AF16" s="551"/>
      <c r="AG16" s="552"/>
      <c r="AH16" s="553"/>
      <c r="AI16" s="546"/>
      <c r="AJ16" s="546"/>
      <c r="AK16" s="546"/>
      <c r="AL16" s="546"/>
      <c r="AM16" s="546"/>
      <c r="AN16" s="546"/>
      <c r="AO16" s="546"/>
      <c r="AP16" s="546"/>
      <c r="AQ16" s="546"/>
      <c r="AR16" s="546"/>
      <c r="AS16" s="546"/>
      <c r="AT16" s="546"/>
      <c r="AU16" s="546"/>
      <c r="AV16" s="546"/>
      <c r="AW16" s="546"/>
      <c r="AX16" s="546"/>
      <c r="AY16" s="546"/>
      <c r="AZ16" s="546"/>
      <c r="BA16" s="546"/>
      <c r="BB16" s="546"/>
      <c r="BC16" s="546"/>
      <c r="BD16" s="546"/>
      <c r="BE16" s="546"/>
      <c r="BF16" s="546"/>
      <c r="BG16" s="546"/>
      <c r="BH16" s="546"/>
      <c r="BI16" s="546"/>
      <c r="BJ16" s="546"/>
      <c r="BK16" s="546"/>
      <c r="BL16" s="546"/>
      <c r="BM16" s="546"/>
      <c r="BN16" s="546"/>
      <c r="BO16" s="546"/>
      <c r="BP16" s="546"/>
      <c r="BQ16" s="546"/>
      <c r="BR16" s="546"/>
      <c r="BS16" s="546"/>
      <c r="BT16" s="546"/>
      <c r="BU16" s="546"/>
      <c r="BV16" s="547"/>
      <c r="BW16" s="547"/>
      <c r="BX16" s="547"/>
      <c r="BY16" s="547"/>
      <c r="BZ16" s="547"/>
      <c r="CA16" s="547"/>
      <c r="CB16" s="547"/>
      <c r="CC16" s="547"/>
      <c r="CD16" s="547"/>
      <c r="CE16" s="547"/>
    </row>
    <row r="17" spans="1:83" s="1842" customFormat="1" ht="22.5" hidden="1" customHeight="1">
      <c r="A17" s="554"/>
      <c r="B17" s="351"/>
      <c r="C17" s="346"/>
      <c r="D17" s="2356"/>
      <c r="E17" s="2351" t="s">
        <v>594</v>
      </c>
      <c r="F17" s="2351"/>
      <c r="G17" s="2351"/>
      <c r="H17" s="2351"/>
      <c r="I17" s="2351"/>
      <c r="J17" s="2351"/>
      <c r="K17" s="2351"/>
      <c r="L17" s="2351"/>
      <c r="M17" s="2351"/>
      <c r="N17" s="2351"/>
      <c r="O17" s="2351"/>
      <c r="P17" s="2351"/>
      <c r="Q17" s="483">
        <f>SUMIF(T18:T19,"i",Q18:Q19)</f>
        <v>0</v>
      </c>
      <c r="R17" s="924"/>
      <c r="S17" s="810" t="s">
        <v>595</v>
      </c>
      <c r="T17" s="636" t="s">
        <v>596</v>
      </c>
      <c r="U17" s="2269">
        <v>1</v>
      </c>
      <c r="V17" s="2269" t="str">
        <f>INDEX(B_FHD_FLAG_INDEX_1,1,MATCH(A14,B_FHD_FLAG_DIFFERENTIATION,0))</f>
        <v>отсутствует</v>
      </c>
      <c r="W17" s="351"/>
      <c r="X17" s="351"/>
      <c r="Y17" s="351"/>
      <c r="Z17" s="351"/>
      <c r="AA17" s="437"/>
      <c r="AB17" s="351"/>
      <c r="AC17" s="2350"/>
      <c r="AD17" s="550"/>
      <c r="AE17" s="351"/>
      <c r="AF17" s="351"/>
      <c r="AG17" s="437"/>
      <c r="AH17" s="437"/>
      <c r="AI17" s="437"/>
      <c r="AJ17" s="437"/>
      <c r="AK17" s="437"/>
      <c r="AL17" s="437"/>
      <c r="AM17" s="437"/>
      <c r="AN17" s="437"/>
      <c r="AO17" s="437"/>
      <c r="AP17" s="437"/>
      <c r="AQ17" s="437"/>
      <c r="AR17" s="437"/>
      <c r="AS17" s="437"/>
      <c r="AT17" s="437"/>
      <c r="AU17" s="437"/>
      <c r="AV17" s="437"/>
      <c r="AW17" s="437"/>
      <c r="AX17" s="437"/>
      <c r="AY17" s="437"/>
      <c r="AZ17" s="437"/>
      <c r="BA17" s="437"/>
      <c r="BB17" s="437"/>
      <c r="BC17" s="437"/>
      <c r="BD17" s="437"/>
      <c r="BE17" s="437"/>
      <c r="BF17" s="437"/>
      <c r="BG17" s="437"/>
      <c r="BH17" s="437"/>
      <c r="BI17" s="437"/>
      <c r="BJ17" s="437"/>
      <c r="BK17" s="437"/>
      <c r="BL17" s="437"/>
      <c r="BM17" s="437"/>
      <c r="BN17" s="437"/>
      <c r="BO17" s="437"/>
      <c r="BP17" s="437"/>
      <c r="BQ17" s="437"/>
      <c r="BR17" s="437"/>
      <c r="BS17" s="437"/>
      <c r="BT17" s="437"/>
      <c r="BU17" s="437"/>
      <c r="BV17" s="351"/>
      <c r="BW17" s="351"/>
      <c r="BX17" s="351"/>
      <c r="BY17" s="351"/>
      <c r="BZ17" s="351"/>
      <c r="CA17" s="351"/>
      <c r="CB17" s="351"/>
      <c r="CC17" s="351"/>
      <c r="CD17" s="351"/>
      <c r="CE17" s="351"/>
    </row>
    <row r="18" spans="1:83" s="1842" customFormat="1" ht="11.25" hidden="1" customHeight="1">
      <c r="A18" s="555"/>
      <c r="B18" s="437"/>
      <c r="C18" s="437"/>
      <c r="D18" s="2356"/>
      <c r="E18" s="556"/>
      <c r="F18" s="556">
        <v>0</v>
      </c>
      <c r="G18" s="556"/>
      <c r="H18" s="556"/>
      <c r="I18" s="556"/>
      <c r="J18" s="556"/>
      <c r="K18" s="556"/>
      <c r="L18" s="556"/>
      <c r="M18" s="556"/>
      <c r="N18" s="556"/>
      <c r="O18" s="556"/>
      <c r="P18" s="556"/>
      <c r="Q18" s="556"/>
      <c r="R18" s="556"/>
      <c r="S18" s="557"/>
      <c r="T18" s="637"/>
      <c r="U18" s="2269"/>
      <c r="V18" s="2269"/>
      <c r="W18" s="437"/>
      <c r="X18" s="437"/>
      <c r="Y18" s="437"/>
      <c r="Z18" s="437"/>
      <c r="AA18" s="437"/>
      <c r="AB18" s="351"/>
      <c r="AC18" s="2350"/>
      <c r="AD18" s="550"/>
      <c r="AE18" s="351"/>
      <c r="AF18" s="351"/>
      <c r="AG18" s="437"/>
      <c r="AH18" s="437"/>
      <c r="AI18" s="437"/>
      <c r="AJ18" s="437"/>
      <c r="AK18" s="437"/>
      <c r="AL18" s="437"/>
      <c r="AM18" s="437"/>
      <c r="AN18" s="437"/>
      <c r="AO18" s="437"/>
      <c r="AP18" s="437"/>
      <c r="AQ18" s="437"/>
      <c r="AR18" s="437"/>
      <c r="AS18" s="437"/>
      <c r="AT18" s="437"/>
      <c r="AU18" s="437"/>
      <c r="AV18" s="437"/>
      <c r="AW18" s="437"/>
      <c r="AX18" s="437"/>
      <c r="AY18" s="437"/>
      <c r="AZ18" s="437"/>
      <c r="BA18" s="437"/>
      <c r="BB18" s="437"/>
      <c r="BC18" s="437"/>
      <c r="BD18" s="437"/>
      <c r="BE18" s="437"/>
      <c r="BF18" s="437"/>
      <c r="BG18" s="437"/>
      <c r="BH18" s="437"/>
      <c r="BI18" s="437"/>
      <c r="BJ18" s="437"/>
      <c r="BK18" s="437"/>
      <c r="BL18" s="437"/>
      <c r="BM18" s="437"/>
      <c r="BN18" s="437"/>
      <c r="BO18" s="437"/>
      <c r="BP18" s="437"/>
      <c r="BQ18" s="437"/>
      <c r="BR18" s="437"/>
      <c r="BS18" s="437"/>
      <c r="BT18" s="437"/>
      <c r="BU18" s="437"/>
      <c r="BV18" s="437"/>
      <c r="BW18" s="437"/>
      <c r="BX18" s="437"/>
      <c r="BY18" s="437"/>
      <c r="BZ18" s="437"/>
      <c r="CA18" s="437"/>
      <c r="CB18" s="437"/>
      <c r="CC18" s="437"/>
      <c r="CD18" s="437"/>
      <c r="CE18" s="437"/>
    </row>
    <row r="19" spans="1:83" s="1842" customFormat="1" ht="11.25" hidden="1" customHeight="1">
      <c r="A19" s="554"/>
      <c r="B19" s="351"/>
      <c r="C19" s="346"/>
      <c r="D19" s="2356"/>
      <c r="E19" s="570" t="s">
        <v>24</v>
      </c>
      <c r="F19" s="571" t="s">
        <v>24</v>
      </c>
      <c r="G19" s="571" t="s">
        <v>24</v>
      </c>
      <c r="H19" s="572" t="s">
        <v>24</v>
      </c>
      <c r="I19" s="572"/>
      <c r="J19" s="572"/>
      <c r="K19" s="572"/>
      <c r="L19" s="572"/>
      <c r="M19" s="572"/>
      <c r="N19" s="572"/>
      <c r="O19" s="572"/>
      <c r="P19" s="572"/>
      <c r="Q19" s="572"/>
      <c r="R19" s="573"/>
      <c r="S19" s="927"/>
      <c r="T19" s="637"/>
      <c r="U19" s="2269"/>
      <c r="V19" s="2269"/>
      <c r="W19" s="351"/>
      <c r="X19" s="351"/>
      <c r="Y19" s="351"/>
      <c r="Z19" s="351"/>
      <c r="AA19" s="437"/>
      <c r="AB19" s="351"/>
      <c r="AC19" s="2350"/>
      <c r="AD19" s="550"/>
      <c r="AE19" s="351"/>
      <c r="AF19" s="351"/>
      <c r="AG19" s="437"/>
      <c r="AH19" s="437"/>
      <c r="AI19" s="437"/>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437"/>
      <c r="BI19" s="437"/>
      <c r="BJ19" s="437"/>
      <c r="BK19" s="437"/>
      <c r="BL19" s="437"/>
      <c r="BM19" s="437"/>
      <c r="BN19" s="437"/>
      <c r="BO19" s="437"/>
      <c r="BP19" s="437"/>
      <c r="BQ19" s="437"/>
      <c r="BR19" s="437"/>
      <c r="BS19" s="437"/>
      <c r="BT19" s="437"/>
      <c r="BU19" s="437"/>
      <c r="BV19" s="351"/>
      <c r="BW19" s="351"/>
      <c r="BX19" s="351"/>
      <c r="BY19" s="351"/>
      <c r="BZ19" s="351"/>
      <c r="CA19" s="351"/>
      <c r="CB19" s="351"/>
      <c r="CC19" s="351"/>
      <c r="CD19" s="351"/>
      <c r="CE19" s="351"/>
    </row>
    <row r="20" spans="1:83" s="1842" customFormat="1" ht="22.5" hidden="1" customHeight="1">
      <c r="A20" s="554"/>
      <c r="B20" s="351"/>
      <c r="C20" s="346"/>
      <c r="D20" s="2356"/>
      <c r="E20" s="2351" t="s">
        <v>597</v>
      </c>
      <c r="F20" s="2351"/>
      <c r="G20" s="2351"/>
      <c r="H20" s="2351"/>
      <c r="I20" s="2351"/>
      <c r="J20" s="2351"/>
      <c r="K20" s="2351"/>
      <c r="L20" s="2351"/>
      <c r="M20" s="2351"/>
      <c r="N20" s="2351"/>
      <c r="O20" s="2351"/>
      <c r="P20" s="2351"/>
      <c r="Q20" s="483">
        <f>SUMIF(T21:T22,"i",Q21:Q22)</f>
        <v>0</v>
      </c>
      <c r="R20" s="924"/>
      <c r="S20" s="628" t="s">
        <v>598</v>
      </c>
      <c r="T20" s="636" t="s">
        <v>596</v>
      </c>
      <c r="U20" s="2269">
        <v>2</v>
      </c>
      <c r="V20" s="2269" t="str">
        <f>INDEX(B_FHD_FLAG_INDEX_2,1,MATCH(A14,B_FHD_FLAG_DIFFERENTIATION,0))</f>
        <v>отсутствует</v>
      </c>
      <c r="W20" s="351"/>
      <c r="X20" s="351"/>
      <c r="Y20" s="351"/>
      <c r="Z20" s="351"/>
      <c r="AA20" s="437"/>
      <c r="AB20" s="351"/>
      <c r="AC20" s="625"/>
      <c r="AD20" s="550"/>
      <c r="AE20" s="351"/>
      <c r="AF20" s="351"/>
      <c r="AG20" s="437"/>
      <c r="AH20" s="437"/>
      <c r="AI20" s="437"/>
      <c r="AJ20" s="437"/>
      <c r="AK20" s="437"/>
      <c r="AL20" s="437"/>
      <c r="AM20" s="437"/>
      <c r="AN20" s="437"/>
      <c r="AO20" s="437"/>
      <c r="AP20" s="437"/>
      <c r="AQ20" s="437"/>
      <c r="AR20" s="437"/>
      <c r="AS20" s="437"/>
      <c r="AT20" s="437"/>
      <c r="AU20" s="437"/>
      <c r="AV20" s="437"/>
      <c r="AW20" s="437"/>
      <c r="AX20" s="437"/>
      <c r="AY20" s="437"/>
      <c r="AZ20" s="437"/>
      <c r="BA20" s="437"/>
      <c r="BB20" s="437"/>
      <c r="BC20" s="437"/>
      <c r="BD20" s="437"/>
      <c r="BE20" s="437"/>
      <c r="BF20" s="437"/>
      <c r="BG20" s="437"/>
      <c r="BH20" s="437"/>
      <c r="BI20" s="437"/>
      <c r="BJ20" s="437"/>
      <c r="BK20" s="437"/>
      <c r="BL20" s="437"/>
      <c r="BM20" s="437"/>
      <c r="BN20" s="437"/>
      <c r="BO20" s="437"/>
      <c r="BP20" s="437"/>
      <c r="BQ20" s="437"/>
      <c r="BR20" s="437"/>
      <c r="BS20" s="437"/>
      <c r="BT20" s="437"/>
      <c r="BU20" s="437"/>
      <c r="BV20" s="351"/>
      <c r="BW20" s="351"/>
      <c r="BX20" s="351"/>
      <c r="BY20" s="351"/>
      <c r="BZ20" s="351"/>
      <c r="CA20" s="351"/>
      <c r="CB20" s="351"/>
      <c r="CC20" s="351"/>
      <c r="CD20" s="351"/>
      <c r="CE20" s="351"/>
    </row>
    <row r="21" spans="1:83" s="1842" customFormat="1" ht="11.25" hidden="1" customHeight="1">
      <c r="A21" s="627"/>
      <c r="B21" s="437"/>
      <c r="C21" s="437"/>
      <c r="D21" s="2356"/>
      <c r="E21" s="556"/>
      <c r="F21" s="556">
        <v>0</v>
      </c>
      <c r="G21" s="556"/>
      <c r="H21" s="556"/>
      <c r="I21" s="556"/>
      <c r="J21" s="556"/>
      <c r="K21" s="556"/>
      <c r="L21" s="556"/>
      <c r="M21" s="556"/>
      <c r="N21" s="556"/>
      <c r="O21" s="556"/>
      <c r="P21" s="556"/>
      <c r="Q21" s="556"/>
      <c r="R21" s="556"/>
      <c r="S21" s="557"/>
      <c r="T21" s="637"/>
      <c r="U21" s="2269"/>
      <c r="V21" s="2269"/>
      <c r="W21" s="437"/>
      <c r="X21" s="437"/>
      <c r="Y21" s="437"/>
      <c r="Z21" s="437"/>
      <c r="AA21" s="437"/>
      <c r="AB21" s="351"/>
      <c r="AC21" s="625"/>
      <c r="AD21" s="550"/>
      <c r="AE21" s="351"/>
      <c r="AF21" s="351"/>
      <c r="AG21" s="437"/>
      <c r="AH21" s="437"/>
      <c r="AI21" s="437"/>
      <c r="AJ21" s="437"/>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c r="BH21" s="437"/>
      <c r="BI21" s="437"/>
      <c r="BJ21" s="437"/>
      <c r="BK21" s="437"/>
      <c r="BL21" s="437"/>
      <c r="BM21" s="437"/>
      <c r="BN21" s="437"/>
      <c r="BO21" s="437"/>
      <c r="BP21" s="437"/>
      <c r="BQ21" s="437"/>
      <c r="BR21" s="437"/>
      <c r="BS21" s="437"/>
      <c r="BT21" s="437"/>
      <c r="BU21" s="437"/>
      <c r="BV21" s="437"/>
      <c r="BW21" s="437"/>
      <c r="BX21" s="437"/>
      <c r="BY21" s="437"/>
      <c r="BZ21" s="437"/>
      <c r="CA21" s="437"/>
      <c r="CB21" s="437"/>
      <c r="CC21" s="437"/>
      <c r="CD21" s="437"/>
      <c r="CE21" s="437"/>
    </row>
    <row r="22" spans="1:83" s="1842" customFormat="1" ht="11.25" hidden="1" customHeight="1">
      <c r="A22" s="554"/>
      <c r="B22" s="351"/>
      <c r="C22" s="346"/>
      <c r="D22" s="2357"/>
      <c r="E22" s="570" t="s">
        <v>24</v>
      </c>
      <c r="F22" s="571" t="s">
        <v>24</v>
      </c>
      <c r="G22" s="571" t="s">
        <v>24</v>
      </c>
      <c r="H22" s="572" t="s">
        <v>24</v>
      </c>
      <c r="I22" s="572"/>
      <c r="J22" s="572"/>
      <c r="K22" s="572"/>
      <c r="L22" s="572"/>
      <c r="M22" s="572"/>
      <c r="N22" s="572"/>
      <c r="O22" s="572"/>
      <c r="P22" s="572"/>
      <c r="Q22" s="572"/>
      <c r="R22" s="573"/>
      <c r="S22" s="927"/>
      <c r="T22" s="637"/>
      <c r="U22" s="2269"/>
      <c r="V22" s="2269"/>
      <c r="W22" s="351"/>
      <c r="X22" s="351"/>
      <c r="Y22" s="351"/>
      <c r="Z22" s="351"/>
      <c r="AA22" s="437"/>
      <c r="AB22" s="351"/>
      <c r="AC22" s="625"/>
      <c r="AD22" s="550"/>
      <c r="AE22" s="351"/>
      <c r="AF22" s="351"/>
      <c r="AG22" s="437"/>
      <c r="AH22" s="437"/>
      <c r="AI22" s="437"/>
      <c r="AJ22" s="437"/>
      <c r="AK22" s="437"/>
      <c r="AL22" s="437"/>
      <c r="AM22" s="437"/>
      <c r="AN22" s="437"/>
      <c r="AO22" s="437"/>
      <c r="AP22" s="437"/>
      <c r="AQ22" s="437"/>
      <c r="AR22" s="437"/>
      <c r="AS22" s="437"/>
      <c r="AT22" s="437"/>
      <c r="AU22" s="437"/>
      <c r="AV22" s="437"/>
      <c r="AW22" s="437"/>
      <c r="AX22" s="437"/>
      <c r="AY22" s="437"/>
      <c r="AZ22" s="437"/>
      <c r="BA22" s="437"/>
      <c r="BB22" s="437"/>
      <c r="BC22" s="437"/>
      <c r="BD22" s="437"/>
      <c r="BE22" s="437"/>
      <c r="BF22" s="437"/>
      <c r="BG22" s="437"/>
      <c r="BH22" s="437"/>
      <c r="BI22" s="437"/>
      <c r="BJ22" s="437"/>
      <c r="BK22" s="437"/>
      <c r="BL22" s="437"/>
      <c r="BM22" s="437"/>
      <c r="BN22" s="437"/>
      <c r="BO22" s="437"/>
      <c r="BP22" s="437"/>
      <c r="BQ22" s="437"/>
      <c r="BR22" s="437"/>
      <c r="BS22" s="437"/>
      <c r="BT22" s="437"/>
      <c r="BU22" s="437"/>
      <c r="BV22" s="351"/>
      <c r="BW22" s="351"/>
      <c r="BX22" s="351"/>
      <c r="BY22" s="351"/>
      <c r="BZ22" s="351"/>
      <c r="CA22" s="351"/>
      <c r="CB22" s="351"/>
      <c r="CC22" s="351"/>
      <c r="CD22" s="351"/>
      <c r="CE22" s="351"/>
    </row>
    <row r="23" spans="1:83" ht="18.75" customHeight="1">
      <c r="D23" s="954"/>
      <c r="E23" s="954"/>
      <c r="F23" s="954"/>
      <c r="G23" s="954"/>
      <c r="H23" s="954"/>
      <c r="I23" s="954"/>
      <c r="J23" s="954"/>
      <c r="K23" s="954"/>
      <c r="L23" s="954"/>
      <c r="M23" s="954"/>
      <c r="N23" s="954"/>
      <c r="O23" s="954"/>
      <c r="P23" s="954"/>
      <c r="Q23" s="954"/>
      <c r="R23" s="954"/>
      <c r="S23" s="954"/>
      <c r="T23" s="260"/>
    </row>
    <row r="24" spans="1:83" ht="11.25" customHeight="1">
      <c r="D24" s="435"/>
    </row>
    <row r="25" spans="1:83" ht="11.25" customHeight="1">
      <c r="D25" s="575"/>
      <c r="E25" s="575"/>
      <c r="F25" s="575"/>
      <c r="G25" s="576"/>
    </row>
    <row r="27" spans="1:83" ht="11.25" customHeight="1">
      <c r="D27" s="577"/>
      <c r="E27" s="2359"/>
      <c r="F27" s="2359"/>
      <c r="G27" s="2359"/>
      <c r="H27" s="2359"/>
      <c r="I27" s="2359"/>
      <c r="J27" s="2359"/>
      <c r="K27" s="2359"/>
      <c r="L27" s="2359"/>
      <c r="M27" s="2359"/>
      <c r="N27" s="2359"/>
      <c r="O27" s="2359"/>
      <c r="P27" s="2359"/>
      <c r="Q27" s="2359"/>
      <c r="R27" s="2359"/>
    </row>
    <row r="28" spans="1:83" ht="11.25" customHeight="1">
      <c r="F28" s="675"/>
      <c r="G28" s="675"/>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C232F-DC3A-9242-2885-9102936BF4F7}">
  <sheetPr>
    <tabColor theme="9" tint="-0.249977111117893"/>
  </sheetPr>
  <dimension ref="A1:AE218"/>
  <sheetViews>
    <sheetView showGridLines="0" topLeftCell="D5" zoomScale="90" workbookViewId="0"/>
  </sheetViews>
  <sheetFormatPr defaultColWidth="9.140625" defaultRowHeight="11.25" customHeight="1"/>
  <cols>
    <col min="1" max="1" width="10.7109375" style="2011" hidden="1" customWidth="1"/>
    <col min="2" max="2" width="16.85546875" style="1931" hidden="1" customWidth="1"/>
    <col min="3" max="3" width="5.5703125" style="2010" hidden="1" customWidth="1"/>
    <col min="4" max="4" width="3.7109375" style="2017" customWidth="1"/>
    <col min="5" max="5" width="7.7109375" style="1908" customWidth="1"/>
    <col min="6" max="6" width="56.140625" style="1908" customWidth="1"/>
    <col min="7" max="7" width="10.42578125" style="1908" customWidth="1"/>
    <col min="8" max="8" width="40.7109375" style="1908" hidden="1" customWidth="1"/>
    <col min="9" max="9" width="40.7109375" style="1908" customWidth="1"/>
    <col min="10" max="10" width="102.85546875" style="1908" customWidth="1"/>
    <col min="11" max="11" width="9.7109375" style="1931" customWidth="1"/>
    <col min="12" max="12" width="5.28515625" style="2010" customWidth="1"/>
    <col min="13" max="13" width="3.7109375" style="2010" customWidth="1"/>
    <col min="14" max="17" width="3.7109375" style="1931" customWidth="1"/>
    <col min="18" max="18" width="10.5703125" style="2010" customWidth="1"/>
    <col min="19" max="19" width="34.7109375" style="1931" customWidth="1"/>
    <col min="20" max="20" width="9.42578125" style="1931" customWidth="1"/>
    <col min="21" max="21" width="9.140625" style="2012"/>
    <col min="22" max="26" width="9.140625" style="1931"/>
    <col min="27" max="31" width="9.140625" style="1907"/>
  </cols>
  <sheetData>
    <row r="1" spans="1:31" s="1931" customFormat="1" ht="11.25" hidden="1" customHeight="1">
      <c r="A1" s="895"/>
      <c r="C1" s="1548"/>
      <c r="D1" s="462"/>
      <c r="H1" s="1060">
        <v>4</v>
      </c>
      <c r="I1" s="1060">
        <v>4</v>
      </c>
      <c r="L1" s="1548"/>
      <c r="M1" s="1548"/>
      <c r="R1" s="1548"/>
    </row>
    <row r="2" spans="1:31" s="1931" customFormat="1" ht="22.5" hidden="1" customHeight="1">
      <c r="A2" s="895"/>
      <c r="C2" s="1548"/>
      <c r="D2" s="463"/>
      <c r="E2" s="1549"/>
      <c r="F2" s="465"/>
      <c r="G2" s="1551" t="s">
        <v>536</v>
      </c>
      <c r="H2" s="466"/>
      <c r="I2" s="466"/>
      <c r="J2" s="467" t="s">
        <v>599</v>
      </c>
      <c r="K2" s="468"/>
      <c r="L2" s="1548"/>
      <c r="M2" s="1548"/>
      <c r="R2" s="1548"/>
      <c r="U2" s="469"/>
      <c r="AA2" s="1544"/>
      <c r="AB2" s="1544"/>
      <c r="AC2" s="1544"/>
      <c r="AD2" s="1544"/>
      <c r="AE2" s="1544"/>
    </row>
    <row r="3" spans="1:31" ht="11.25" hidden="1" customHeight="1"/>
    <row r="4" spans="1:31" s="1907" customFormat="1" ht="11.25" hidden="1" customHeight="1">
      <c r="A4" s="895"/>
      <c r="B4" s="1060"/>
      <c r="C4" s="1548"/>
      <c r="D4" s="289"/>
      <c r="J4" s="1544">
        <v>4</v>
      </c>
      <c r="K4" s="1060"/>
      <c r="L4" s="1548"/>
      <c r="M4" s="1548"/>
      <c r="N4" s="1060"/>
      <c r="O4" s="1060"/>
      <c r="P4" s="1060"/>
      <c r="Q4" s="1060"/>
      <c r="R4" s="1548"/>
      <c r="S4" s="1060"/>
      <c r="T4" s="1060"/>
      <c r="U4" s="469"/>
      <c r="V4" s="1060"/>
      <c r="W4" s="1060"/>
      <c r="X4" s="1060"/>
      <c r="Y4" s="1060"/>
      <c r="Z4" s="1060"/>
    </row>
    <row r="6" spans="1:31" ht="22.5" customHeight="1">
      <c r="E6" s="2213" t="s">
        <v>600</v>
      </c>
      <c r="F6" s="2213"/>
      <c r="G6" s="2213"/>
      <c r="H6" s="2213"/>
      <c r="I6" s="2213"/>
      <c r="J6" s="481"/>
    </row>
    <row r="7" spans="1:31" ht="24" customHeight="1">
      <c r="E7" s="2200" t="str">
        <f>IF(org=0,"Не определено",org)</f>
        <v>ПАО "Юнипро"</v>
      </c>
      <c r="F7" s="2200"/>
      <c r="G7" s="2200"/>
      <c r="H7" s="2200"/>
      <c r="I7" s="2200"/>
    </row>
    <row r="8" spans="1:31" ht="11.25" customHeight="1">
      <c r="E8" s="1037"/>
      <c r="F8" s="1037"/>
      <c r="G8" s="1037"/>
      <c r="H8" s="1037"/>
      <c r="I8" s="1037"/>
    </row>
    <row r="9" spans="1:31" s="2010" customFormat="1" ht="0.75" customHeight="1">
      <c r="A9" s="1067"/>
      <c r="D9" s="1553"/>
      <c r="H9" s="802"/>
      <c r="I9" s="802" t="s">
        <v>116</v>
      </c>
    </row>
    <row r="10" spans="1:31" ht="11.25" customHeight="1">
      <c r="E10" s="630"/>
      <c r="F10" s="2344" t="s">
        <v>104</v>
      </c>
      <c r="G10" s="2345"/>
      <c r="H10" s="1470" t="str">
        <f>IF(H9="","",INDEX(DIFFERENTIATION_UNMERGE_VD,MATCH(H9,DIFFERENTIATION_ID_DIFF,0)))</f>
        <v/>
      </c>
      <c r="I10" s="1470">
        <f>IF(I9="","",INDEX(DIFFERENTIATION_UNMERGE_VD,MATCH(I9,DIFFERENTIATION_ID_DIFF,0)))</f>
        <v>0</v>
      </c>
      <c r="J10" s="2143"/>
    </row>
    <row r="11" spans="1:31" ht="11.25" customHeight="1">
      <c r="E11" s="630"/>
      <c r="F11" s="2344" t="s">
        <v>548</v>
      </c>
      <c r="G11" s="2345"/>
      <c r="H11" s="1470" t="str">
        <f>IF(H9="","",INDEX(DIFFERENTIATION_UNMERGE_AREA,MATCH(H9,DIFFERENTIATION_ID_DIFF,0)))</f>
        <v/>
      </c>
      <c r="I11" s="1470" t="str">
        <f>IF(I9="","",INDEX(DIFFERENTIATION_UNMERGE_AREA,MATCH(I9,DIFFERENTIATION_ID_DIFF,0)))</f>
        <v/>
      </c>
      <c r="J11" s="2143"/>
    </row>
    <row r="12" spans="1:31" ht="11.25" hidden="1" customHeight="1">
      <c r="E12" s="1573"/>
      <c r="F12" s="2360" t="s">
        <v>549</v>
      </c>
      <c r="G12" s="2361"/>
      <c r="H12" s="1574" t="str">
        <f>IF(H9="","",INDEX(DIFFERENTIATION_UNMERGE_SYSTEM,MATCH(H9,DIFFERENTIATION_ID_DIFF,0)))</f>
        <v/>
      </c>
      <c r="I12" s="1574" t="str">
        <f>IF(I9="","",INDEX(DIFFERENTIATION_UNMERGE_SYSTEM,MATCH(I9,DIFFERENTIATION_ID_DIFF,0)))</f>
        <v>без дифференциации</v>
      </c>
      <c r="J12" s="2143"/>
    </row>
    <row r="13" spans="1:31" ht="11.25" customHeight="1">
      <c r="E13" s="2346" t="s">
        <v>289</v>
      </c>
      <c r="F13" s="2347"/>
      <c r="G13" s="2347"/>
      <c r="H13" s="1469"/>
      <c r="I13" s="1469"/>
      <c r="J13" s="2143"/>
    </row>
    <row r="14" spans="1:31" ht="22.5" customHeight="1">
      <c r="E14" s="1551" t="s">
        <v>87</v>
      </c>
      <c r="F14" s="1546" t="s">
        <v>291</v>
      </c>
      <c r="G14" s="1546" t="s">
        <v>550</v>
      </c>
      <c r="H14" s="1546" t="s">
        <v>292</v>
      </c>
      <c r="I14" s="1546" t="s">
        <v>292</v>
      </c>
      <c r="J14" s="2143"/>
    </row>
    <row r="15" spans="1:31" ht="18.75" customHeight="1">
      <c r="D15" s="1550"/>
      <c r="E15" s="1542" t="s">
        <v>108</v>
      </c>
      <c r="F15" s="626" t="s">
        <v>601</v>
      </c>
      <c r="G15" s="1557" t="s">
        <v>536</v>
      </c>
      <c r="H15" s="482"/>
      <c r="I15" s="482"/>
      <c r="J15" s="207" t="s">
        <v>602</v>
      </c>
      <c r="K15" s="468" t="s">
        <v>603</v>
      </c>
    </row>
    <row r="16" spans="1:31" ht="33.75" customHeight="1">
      <c r="D16" s="1550"/>
      <c r="E16" s="1542" t="s">
        <v>109</v>
      </c>
      <c r="F16" s="626" t="s">
        <v>604</v>
      </c>
      <c r="G16" s="1557" t="s">
        <v>536</v>
      </c>
      <c r="H16" s="483">
        <f>SUM(H17,H20:H32)</f>
        <v>0</v>
      </c>
      <c r="I16" s="483">
        <f>SUM(I17,I20:I32)</f>
        <v>0</v>
      </c>
      <c r="J16" s="207" t="s">
        <v>605</v>
      </c>
      <c r="K16" s="468" t="s">
        <v>603</v>
      </c>
    </row>
    <row r="17" spans="1:31" ht="18.75" customHeight="1">
      <c r="D17" s="1550"/>
      <c r="E17" s="1575" t="s">
        <v>606</v>
      </c>
      <c r="F17" s="863" t="s">
        <v>607</v>
      </c>
      <c r="G17" s="1554" t="s">
        <v>536</v>
      </c>
      <c r="H17" s="482"/>
      <c r="I17" s="482"/>
      <c r="J17" s="207" t="s">
        <v>608</v>
      </c>
      <c r="K17" s="468"/>
    </row>
    <row r="18" spans="1:31" ht="22.5" customHeight="1">
      <c r="D18" s="1550"/>
      <c r="E18" s="1575" t="s">
        <v>609</v>
      </c>
      <c r="F18" s="1561" t="s">
        <v>610</v>
      </c>
      <c r="G18" s="1554" t="s">
        <v>536</v>
      </c>
      <c r="H18" s="482"/>
      <c r="I18" s="482"/>
      <c r="J18" s="207" t="s">
        <v>611</v>
      </c>
      <c r="K18" s="468"/>
    </row>
    <row r="19" spans="1:31" ht="33.75" customHeight="1">
      <c r="D19" s="1550"/>
      <c r="E19" s="1575" t="s">
        <v>612</v>
      </c>
      <c r="F19" s="1561" t="s">
        <v>613</v>
      </c>
      <c r="G19" s="1554" t="s">
        <v>536</v>
      </c>
      <c r="H19" s="482"/>
      <c r="I19" s="482"/>
      <c r="J19" s="207"/>
      <c r="K19" s="468"/>
    </row>
    <row r="20" spans="1:31" ht="18.75" customHeight="1">
      <c r="D20" s="1550"/>
      <c r="E20" s="1575" t="s">
        <v>296</v>
      </c>
      <c r="F20" s="863" t="s">
        <v>614</v>
      </c>
      <c r="G20" s="1554" t="s">
        <v>536</v>
      </c>
      <c r="H20" s="482"/>
      <c r="I20" s="482"/>
      <c r="J20" s="207" t="s">
        <v>615</v>
      </c>
      <c r="K20" s="468"/>
    </row>
    <row r="21" spans="1:31" ht="18.75" customHeight="1">
      <c r="D21" s="1550"/>
      <c r="E21" s="1575" t="s">
        <v>616</v>
      </c>
      <c r="F21" s="1561" t="s">
        <v>617</v>
      </c>
      <c r="G21" s="1554" t="s">
        <v>536</v>
      </c>
      <c r="H21" s="482"/>
      <c r="I21" s="482"/>
      <c r="J21" s="207"/>
      <c r="K21" s="468"/>
    </row>
    <row r="22" spans="1:31" ht="18.75" customHeight="1">
      <c r="D22" s="1550"/>
      <c r="E22" s="1575" t="s">
        <v>618</v>
      </c>
      <c r="F22" s="1561" t="s">
        <v>619</v>
      </c>
      <c r="G22" s="1554" t="s">
        <v>536</v>
      </c>
      <c r="H22" s="482"/>
      <c r="I22" s="482"/>
      <c r="J22" s="207"/>
      <c r="K22" s="468"/>
    </row>
    <row r="23" spans="1:31" ht="22.5" customHeight="1">
      <c r="D23" s="1550"/>
      <c r="E23" s="1575" t="s">
        <v>299</v>
      </c>
      <c r="F23" s="863" t="s">
        <v>620</v>
      </c>
      <c r="G23" s="1554" t="s">
        <v>536</v>
      </c>
      <c r="H23" s="482"/>
      <c r="I23" s="482"/>
      <c r="J23" s="207" t="s">
        <v>621</v>
      </c>
      <c r="K23" s="468"/>
    </row>
    <row r="24" spans="1:31" ht="18.75" customHeight="1">
      <c r="D24" s="1550"/>
      <c r="E24" s="1575" t="s">
        <v>622</v>
      </c>
      <c r="F24" s="1561" t="s">
        <v>623</v>
      </c>
      <c r="G24" s="1554" t="s">
        <v>536</v>
      </c>
      <c r="H24" s="482"/>
      <c r="I24" s="482"/>
      <c r="J24" s="207"/>
      <c r="K24" s="468"/>
    </row>
    <row r="25" spans="1:31" ht="33.75" customHeight="1">
      <c r="D25" s="1550"/>
      <c r="E25" s="1575" t="s">
        <v>624</v>
      </c>
      <c r="F25" s="1561" t="s">
        <v>625</v>
      </c>
      <c r="G25" s="1554" t="s">
        <v>536</v>
      </c>
      <c r="H25" s="482"/>
      <c r="I25" s="482"/>
      <c r="J25" s="207"/>
      <c r="K25" s="468"/>
    </row>
    <row r="26" spans="1:31" ht="22.5" customHeight="1">
      <c r="D26" s="1550"/>
      <c r="E26" s="1575" t="s">
        <v>626</v>
      </c>
      <c r="F26" s="863" t="s">
        <v>627</v>
      </c>
      <c r="G26" s="1554" t="s">
        <v>536</v>
      </c>
      <c r="H26" s="482"/>
      <c r="I26" s="482"/>
      <c r="J26" s="207" t="s">
        <v>628</v>
      </c>
      <c r="K26" s="468"/>
    </row>
    <row r="27" spans="1:31" ht="18.75" customHeight="1">
      <c r="D27" s="1550"/>
      <c r="E27" s="1586" t="s">
        <v>629</v>
      </c>
      <c r="F27" s="1561" t="s">
        <v>630</v>
      </c>
      <c r="G27" s="1565" t="s">
        <v>536</v>
      </c>
      <c r="H27" s="1587"/>
      <c r="I27" s="1587"/>
      <c r="J27" s="207"/>
      <c r="K27" s="468"/>
    </row>
    <row r="28" spans="1:31" ht="18.75" customHeight="1">
      <c r="D28" s="1550"/>
      <c r="E28" s="1586" t="s">
        <v>631</v>
      </c>
      <c r="F28" s="1561" t="s">
        <v>632</v>
      </c>
      <c r="G28" s="1565" t="s">
        <v>536</v>
      </c>
      <c r="H28" s="1587"/>
      <c r="I28" s="1587"/>
      <c r="J28" s="207"/>
      <c r="K28" s="468"/>
    </row>
    <row r="29" spans="1:31" ht="18.75" customHeight="1">
      <c r="D29" s="1550"/>
      <c r="E29" s="1586" t="s">
        <v>633</v>
      </c>
      <c r="F29" s="863" t="s">
        <v>634</v>
      </c>
      <c r="G29" s="1565" t="s">
        <v>536</v>
      </c>
      <c r="H29" s="1587"/>
      <c r="I29" s="1587"/>
      <c r="J29" s="207"/>
      <c r="K29" s="468"/>
    </row>
    <row r="30" spans="1:31" ht="18.75" customHeight="1">
      <c r="D30" s="1550"/>
      <c r="E30" s="1586" t="s">
        <v>635</v>
      </c>
      <c r="F30" s="863" t="s">
        <v>636</v>
      </c>
      <c r="G30" s="1565" t="s">
        <v>536</v>
      </c>
      <c r="H30" s="1587"/>
      <c r="I30" s="1587"/>
      <c r="J30" s="207"/>
      <c r="K30" s="468"/>
    </row>
    <row r="31" spans="1:31" ht="18.75" customHeight="1">
      <c r="D31" s="1550"/>
      <c r="E31" s="1586" t="s">
        <v>637</v>
      </c>
      <c r="F31" s="863" t="s">
        <v>638</v>
      </c>
      <c r="G31" s="1565" t="s">
        <v>536</v>
      </c>
      <c r="H31" s="1587"/>
      <c r="I31" s="1587"/>
      <c r="J31" s="207"/>
      <c r="K31" s="468"/>
    </row>
    <row r="32" spans="1:31" s="1931" customFormat="1" ht="22.5" customHeight="1">
      <c r="A32" s="895"/>
      <c r="C32" s="1548"/>
      <c r="D32" s="1550"/>
      <c r="E32" s="1586" t="s">
        <v>639</v>
      </c>
      <c r="F32" s="863" t="s">
        <v>640</v>
      </c>
      <c r="G32" s="1555" t="s">
        <v>536</v>
      </c>
      <c r="H32" s="504">
        <f>SUM(H33:H34)</f>
        <v>0</v>
      </c>
      <c r="I32" s="504">
        <f>SUM(I33:I34)</f>
        <v>0</v>
      </c>
      <c r="J32" s="207" t="s">
        <v>641</v>
      </c>
      <c r="K32" s="468"/>
      <c r="L32" s="1548"/>
      <c r="M32" s="1548"/>
      <c r="R32" s="1548"/>
      <c r="U32" s="469"/>
      <c r="AA32" s="1544"/>
      <c r="AB32" s="1544"/>
      <c r="AC32" s="1544"/>
      <c r="AD32" s="1544"/>
      <c r="AE32" s="1544"/>
    </row>
    <row r="33" spans="1:31" s="2010" customFormat="1" ht="0.75" customHeight="1">
      <c r="A33" s="1067"/>
      <c r="D33" s="473"/>
      <c r="E33" s="719" t="str">
        <f>E32&amp;".0"</f>
        <v>2.8.0</v>
      </c>
      <c r="F33" s="899"/>
      <c r="G33" s="476"/>
      <c r="H33" s="900"/>
      <c r="I33" s="900"/>
      <c r="J33" s="901"/>
    </row>
    <row r="34" spans="1:31" s="1931" customFormat="1" ht="18.75" customHeight="1">
      <c r="A34" s="895"/>
      <c r="C34" s="1548"/>
      <c r="D34" s="1545"/>
      <c r="E34" s="495"/>
      <c r="F34" s="1577" t="s">
        <v>561</v>
      </c>
      <c r="G34" s="497"/>
      <c r="H34" s="498"/>
      <c r="I34" s="498"/>
      <c r="J34" s="219" t="s">
        <v>642</v>
      </c>
      <c r="K34" s="468"/>
      <c r="L34" s="1548"/>
      <c r="M34" s="1548"/>
      <c r="R34" s="1548"/>
      <c r="U34" s="469"/>
      <c r="AA34" s="1544"/>
      <c r="AB34" s="1544"/>
      <c r="AC34" s="1544"/>
      <c r="AD34" s="1544"/>
      <c r="AE34" s="1544"/>
    </row>
    <row r="35" spans="1:31" ht="56.25" customHeight="1">
      <c r="D35" s="1550"/>
      <c r="E35" s="1586" t="s">
        <v>643</v>
      </c>
      <c r="F35" s="863" t="s">
        <v>644</v>
      </c>
      <c r="G35" s="1565" t="s">
        <v>536</v>
      </c>
      <c r="H35" s="1587"/>
      <c r="I35" s="1587"/>
      <c r="J35" s="207" t="s">
        <v>645</v>
      </c>
      <c r="K35" s="468"/>
    </row>
    <row r="36" spans="1:31" s="1931" customFormat="1" ht="22.5" customHeight="1">
      <c r="A36" s="897" t="s">
        <v>562</v>
      </c>
      <c r="C36" s="1548"/>
      <c r="D36" s="1550"/>
      <c r="E36" s="1575" t="s">
        <v>89</v>
      </c>
      <c r="F36" s="626" t="s">
        <v>646</v>
      </c>
      <c r="G36" s="1554" t="s">
        <v>536</v>
      </c>
      <c r="H36" s="482"/>
      <c r="I36" s="482"/>
      <c r="J36" s="207" t="s">
        <v>647</v>
      </c>
      <c r="K36" s="468"/>
      <c r="L36" s="1548"/>
      <c r="M36" s="1548"/>
      <c r="R36" s="1548"/>
      <c r="U36" s="469"/>
      <c r="AA36" s="1544"/>
      <c r="AB36" s="1544"/>
      <c r="AC36" s="1544"/>
      <c r="AD36" s="1544"/>
      <c r="AE36" s="1544"/>
    </row>
    <row r="37" spans="1:31" s="1931" customFormat="1" ht="22.5" customHeight="1">
      <c r="A37" s="897"/>
      <c r="C37" s="1548"/>
      <c r="D37" s="1550"/>
      <c r="E37" s="1575" t="s">
        <v>315</v>
      </c>
      <c r="F37" s="863" t="s">
        <v>648</v>
      </c>
      <c r="G37" s="1565"/>
      <c r="H37" s="482"/>
      <c r="I37" s="482"/>
      <c r="J37" s="207"/>
      <c r="K37" s="468"/>
      <c r="L37" s="1548"/>
      <c r="M37" s="1548"/>
      <c r="R37" s="1548"/>
      <c r="U37" s="469"/>
      <c r="AA37" s="1544"/>
      <c r="AB37" s="1544"/>
      <c r="AC37" s="1544"/>
      <c r="AD37" s="1544"/>
      <c r="AE37" s="1544"/>
    </row>
    <row r="38" spans="1:31" s="1931" customFormat="1" ht="18.75" customHeight="1">
      <c r="A38" s="895"/>
      <c r="C38" s="1548"/>
      <c r="D38" s="500"/>
      <c r="E38" s="1575" t="s">
        <v>90</v>
      </c>
      <c r="F38" s="626" t="s">
        <v>649</v>
      </c>
      <c r="G38" s="1554" t="s">
        <v>536</v>
      </c>
      <c r="H38" s="482"/>
      <c r="I38" s="482"/>
      <c r="J38" s="207" t="s">
        <v>650</v>
      </c>
      <c r="K38" s="468"/>
      <c r="L38" s="1548"/>
      <c r="M38" s="1548"/>
      <c r="R38" s="1548"/>
      <c r="U38" s="469"/>
      <c r="AA38" s="1544"/>
      <c r="AB38" s="1544"/>
      <c r="AC38" s="1544"/>
      <c r="AD38" s="1544"/>
      <c r="AE38" s="1544"/>
    </row>
    <row r="39" spans="1:31" s="1931" customFormat="1" ht="22.5" customHeight="1">
      <c r="A39" s="895"/>
      <c r="C39" s="1548"/>
      <c r="D39" s="500"/>
      <c r="E39" s="1575" t="s">
        <v>651</v>
      </c>
      <c r="F39" s="863" t="s">
        <v>652</v>
      </c>
      <c r="G39" s="1565" t="s">
        <v>536</v>
      </c>
      <c r="H39" s="482"/>
      <c r="I39" s="482"/>
      <c r="J39" s="207" t="s">
        <v>653</v>
      </c>
      <c r="K39" s="468"/>
      <c r="L39" s="1548"/>
      <c r="M39" s="1548"/>
      <c r="R39" s="1548"/>
      <c r="U39" s="469"/>
      <c r="AA39" s="1544"/>
      <c r="AB39" s="1544"/>
      <c r="AC39" s="1544"/>
      <c r="AD39" s="1544"/>
      <c r="AE39" s="1544"/>
    </row>
    <row r="40" spans="1:31" s="1931" customFormat="1" ht="22.5" customHeight="1">
      <c r="A40" s="895"/>
      <c r="C40" s="1548"/>
      <c r="D40" s="1550"/>
      <c r="E40" s="1575" t="s">
        <v>654</v>
      </c>
      <c r="F40" s="1561" t="s">
        <v>655</v>
      </c>
      <c r="G40" s="1554" t="s">
        <v>536</v>
      </c>
      <c r="H40" s="482"/>
      <c r="I40" s="482"/>
      <c r="J40" s="207" t="s">
        <v>656</v>
      </c>
      <c r="K40" s="468"/>
      <c r="L40" s="1548"/>
      <c r="M40" s="1548"/>
      <c r="R40" s="1548"/>
      <c r="U40" s="469"/>
      <c r="AA40" s="1544"/>
      <c r="AB40" s="1544"/>
      <c r="AC40" s="1544"/>
      <c r="AD40" s="1544"/>
      <c r="AE40" s="1544"/>
    </row>
    <row r="41" spans="1:31" s="1931" customFormat="1" ht="22.5" customHeight="1">
      <c r="A41" s="895"/>
      <c r="C41" s="1548"/>
      <c r="D41" s="1550"/>
      <c r="E41" s="1575" t="s">
        <v>657</v>
      </c>
      <c r="F41" s="1561" t="s">
        <v>658</v>
      </c>
      <c r="G41" s="1554" t="s">
        <v>536</v>
      </c>
      <c r="H41" s="482"/>
      <c r="I41" s="482"/>
      <c r="J41" s="207" t="s">
        <v>659</v>
      </c>
      <c r="K41" s="468"/>
      <c r="L41" s="1548"/>
      <c r="M41" s="1548"/>
      <c r="R41" s="1548"/>
      <c r="U41" s="469"/>
      <c r="AA41" s="1544"/>
      <c r="AB41" s="1544"/>
      <c r="AC41" s="1544"/>
      <c r="AD41" s="1544"/>
      <c r="AE41" s="1544"/>
    </row>
    <row r="42" spans="1:31" s="1931" customFormat="1" ht="22.5" customHeight="1">
      <c r="A42" s="895"/>
      <c r="C42" s="1548"/>
      <c r="D42" s="1550"/>
      <c r="E42" s="1575" t="s">
        <v>660</v>
      </c>
      <c r="F42" s="1561" t="s">
        <v>661</v>
      </c>
      <c r="G42" s="1554" t="s">
        <v>536</v>
      </c>
      <c r="H42" s="482"/>
      <c r="I42" s="482"/>
      <c r="J42" s="207" t="s">
        <v>662</v>
      </c>
      <c r="K42" s="468"/>
      <c r="L42" s="1548"/>
      <c r="M42" s="1548"/>
      <c r="R42" s="1548"/>
      <c r="U42" s="469"/>
      <c r="AA42" s="1544"/>
      <c r="AB42" s="1544"/>
      <c r="AC42" s="1544"/>
      <c r="AD42" s="1544"/>
      <c r="AE42" s="1544"/>
    </row>
    <row r="43" spans="1:31" s="1931" customFormat="1" ht="33.75" customHeight="1">
      <c r="A43" s="895"/>
      <c r="C43" s="1548" t="s">
        <v>572</v>
      </c>
      <c r="D43" s="1550"/>
      <c r="E43" s="1575" t="s">
        <v>110</v>
      </c>
      <c r="F43" s="626" t="s">
        <v>663</v>
      </c>
      <c r="G43" s="1557" t="s">
        <v>664</v>
      </c>
      <c r="H43" s="335"/>
      <c r="I43" s="335"/>
      <c r="J43" s="207" t="s">
        <v>665</v>
      </c>
      <c r="K43" s="468"/>
      <c r="L43" s="1548"/>
      <c r="M43" s="1548"/>
      <c r="R43" s="1548"/>
      <c r="U43" s="469"/>
      <c r="AA43" s="1544"/>
      <c r="AB43" s="1544"/>
      <c r="AC43" s="1544"/>
      <c r="AD43" s="1544"/>
      <c r="AE43" s="1544"/>
    </row>
    <row r="44" spans="1:31" s="1931" customFormat="1" ht="22.5" customHeight="1">
      <c r="A44" s="895"/>
      <c r="C44" s="1548"/>
      <c r="D44" s="1550"/>
      <c r="E44" s="1575" t="s">
        <v>91</v>
      </c>
      <c r="F44" s="626" t="s">
        <v>666</v>
      </c>
      <c r="G44" s="1554" t="s">
        <v>667</v>
      </c>
      <c r="H44" s="470"/>
      <c r="I44" s="470"/>
      <c r="J44" s="207" t="s">
        <v>668</v>
      </c>
      <c r="K44" s="468"/>
      <c r="L44" s="1548"/>
      <c r="M44" s="1548"/>
      <c r="R44" s="1548"/>
      <c r="U44" s="469"/>
      <c r="AA44" s="1544"/>
      <c r="AB44" s="1544"/>
      <c r="AC44" s="1544"/>
      <c r="AD44" s="1544"/>
      <c r="AE44" s="1544"/>
    </row>
    <row r="45" spans="1:31" s="1931" customFormat="1" ht="22.5" customHeight="1">
      <c r="A45" s="895"/>
      <c r="C45" s="1548"/>
      <c r="D45" s="1550"/>
      <c r="E45" s="1575" t="s">
        <v>92</v>
      </c>
      <c r="F45" s="626" t="s">
        <v>669</v>
      </c>
      <c r="G45" s="1565" t="s">
        <v>670</v>
      </c>
      <c r="H45" s="470"/>
      <c r="I45" s="470"/>
      <c r="J45" s="207" t="s">
        <v>671</v>
      </c>
      <c r="K45" s="468"/>
      <c r="L45" s="1548"/>
      <c r="M45" s="1548"/>
      <c r="R45" s="1548"/>
      <c r="U45" s="469"/>
      <c r="AA45" s="1544"/>
      <c r="AB45" s="1544"/>
      <c r="AC45" s="1544"/>
      <c r="AD45" s="1544"/>
      <c r="AE45" s="1544"/>
    </row>
    <row r="46" spans="1:31" s="1931" customFormat="1" ht="18.75" customHeight="1">
      <c r="A46" s="895"/>
      <c r="C46" s="1548"/>
      <c r="D46" s="1550"/>
      <c r="E46" s="1575" t="s">
        <v>111</v>
      </c>
      <c r="F46" s="626" t="s">
        <v>672</v>
      </c>
      <c r="G46" s="1554" t="s">
        <v>574</v>
      </c>
      <c r="H46" s="502"/>
      <c r="I46" s="502"/>
      <c r="J46" s="207"/>
      <c r="K46" s="468"/>
      <c r="L46" s="1548"/>
      <c r="M46" s="1548"/>
      <c r="R46" s="1548"/>
      <c r="U46" s="469"/>
      <c r="AA46" s="1544"/>
      <c r="AB46" s="1544"/>
      <c r="AC46" s="1544"/>
      <c r="AD46" s="1544"/>
      <c r="AE46" s="1544"/>
    </row>
    <row r="47" spans="1:31" ht="11.25" customHeight="1">
      <c r="D47" s="1550"/>
    </row>
    <row r="48" spans="1:31" ht="26.25" customHeight="1">
      <c r="D48" s="1550"/>
      <c r="E48" s="1164"/>
      <c r="F48" s="2290"/>
      <c r="G48" s="2290"/>
      <c r="H48" s="2290"/>
      <c r="I48" s="2290"/>
      <c r="J48" s="2290"/>
    </row>
    <row r="49" spans="1:31" s="2013" customFormat="1" ht="37.5" customHeight="1">
      <c r="A49" s="895"/>
      <c r="B49" s="1548"/>
      <c r="C49" s="1548"/>
      <c r="D49" s="276"/>
      <c r="F49" s="2290"/>
      <c r="G49" s="2290"/>
      <c r="H49" s="2290"/>
      <c r="I49" s="2290"/>
      <c r="J49" s="2290"/>
      <c r="K49" s="1060"/>
      <c r="L49" s="1548"/>
      <c r="M49" s="1548"/>
      <c r="N49" s="1060"/>
      <c r="O49" s="1060"/>
      <c r="P49" s="1060"/>
      <c r="Q49" s="1060"/>
      <c r="R49" s="1548"/>
      <c r="S49" s="1060"/>
      <c r="T49" s="1060"/>
      <c r="U49" s="469"/>
      <c r="V49" s="1060"/>
      <c r="W49" s="1060"/>
      <c r="X49" s="1060"/>
      <c r="Y49" s="1060"/>
      <c r="Z49" s="1060"/>
      <c r="AA49" s="1544"/>
      <c r="AB49" s="491"/>
      <c r="AC49" s="491"/>
      <c r="AD49" s="491"/>
      <c r="AE49" s="491"/>
    </row>
    <row r="50" spans="1:31" s="2013" customFormat="1" ht="11.25" customHeight="1">
      <c r="A50" s="895"/>
      <c r="B50" s="1548"/>
      <c r="C50" s="1548"/>
      <c r="D50" s="276"/>
      <c r="K50" s="1060"/>
      <c r="L50" s="1548"/>
      <c r="M50" s="1548"/>
      <c r="N50" s="1060"/>
      <c r="O50" s="1060"/>
      <c r="P50" s="1060"/>
      <c r="Q50" s="1060"/>
      <c r="R50" s="1548"/>
      <c r="S50" s="1060"/>
      <c r="T50" s="1060"/>
      <c r="U50" s="469"/>
      <c r="V50" s="1060"/>
      <c r="W50" s="1060"/>
      <c r="X50" s="1060"/>
      <c r="Y50" s="1060"/>
      <c r="Z50" s="1060"/>
      <c r="AA50" s="1544"/>
      <c r="AB50" s="491"/>
      <c r="AC50" s="491"/>
      <c r="AD50" s="491"/>
      <c r="AE50" s="491"/>
    </row>
    <row r="51" spans="1:31" s="2013" customFormat="1" ht="11.25" customHeight="1">
      <c r="A51" s="895"/>
      <c r="B51" s="1548"/>
      <c r="C51" s="1548"/>
      <c r="D51" s="276"/>
      <c r="K51" s="1060"/>
      <c r="L51" s="1548"/>
      <c r="M51" s="1548"/>
      <c r="N51" s="1060"/>
      <c r="O51" s="1060"/>
      <c r="P51" s="1060"/>
      <c r="Q51" s="1060"/>
      <c r="R51" s="1548"/>
      <c r="S51" s="1060"/>
      <c r="T51" s="1060"/>
      <c r="U51" s="469"/>
      <c r="V51" s="1060"/>
      <c r="W51" s="1060"/>
      <c r="X51" s="1060"/>
      <c r="Y51" s="1060"/>
      <c r="Z51" s="1060"/>
      <c r="AA51" s="1544"/>
      <c r="AB51" s="491"/>
      <c r="AC51" s="491"/>
      <c r="AD51" s="491"/>
      <c r="AE51" s="491"/>
    </row>
    <row r="52" spans="1:31" s="2013" customFormat="1" ht="11.25" customHeight="1">
      <c r="A52" s="895"/>
      <c r="B52" s="1548"/>
      <c r="C52" s="1548"/>
      <c r="D52" s="276"/>
      <c r="H52" s="491"/>
      <c r="I52" s="491"/>
      <c r="K52" s="1060"/>
      <c r="L52" s="1548"/>
      <c r="M52" s="1548"/>
      <c r="N52" s="1060"/>
      <c r="O52" s="1060"/>
      <c r="P52" s="1060"/>
      <c r="Q52" s="1060"/>
      <c r="R52" s="1548"/>
      <c r="S52" s="1060"/>
      <c r="T52" s="1060"/>
      <c r="U52" s="469"/>
      <c r="V52" s="1060"/>
      <c r="W52" s="1060"/>
      <c r="X52" s="1060"/>
      <c r="Y52" s="1060"/>
      <c r="Z52" s="1060"/>
      <c r="AA52" s="1544"/>
      <c r="AB52" s="491"/>
      <c r="AC52" s="491"/>
      <c r="AD52" s="491"/>
      <c r="AE52" s="491"/>
    </row>
    <row r="53" spans="1:31" s="2013" customFormat="1" ht="11.25" customHeight="1">
      <c r="A53" s="895"/>
      <c r="B53" s="1548"/>
      <c r="C53" s="1548"/>
      <c r="D53" s="276"/>
      <c r="K53" s="1060"/>
      <c r="L53" s="1548"/>
      <c r="M53" s="1548"/>
      <c r="N53" s="1060"/>
      <c r="O53" s="1060"/>
      <c r="P53" s="1060"/>
      <c r="Q53" s="1060"/>
      <c r="R53" s="1548"/>
      <c r="S53" s="1060"/>
      <c r="T53" s="1060"/>
      <c r="U53" s="469"/>
      <c r="V53" s="1060"/>
      <c r="W53" s="1060"/>
      <c r="X53" s="1060"/>
      <c r="Y53" s="1060"/>
      <c r="Z53" s="1060"/>
      <c r="AA53" s="1544"/>
      <c r="AB53" s="491"/>
      <c r="AC53" s="491"/>
      <c r="AD53" s="491"/>
      <c r="AE53" s="491"/>
    </row>
    <row r="54" spans="1:31" s="2013" customFormat="1" ht="11.25" customHeight="1">
      <c r="A54" s="895"/>
      <c r="B54" s="1548"/>
      <c r="C54" s="1548"/>
      <c r="D54" s="276"/>
      <c r="K54" s="1060"/>
      <c r="L54" s="1548"/>
      <c r="M54" s="1548"/>
      <c r="N54" s="1060"/>
      <c r="O54" s="1060"/>
      <c r="P54" s="1060"/>
      <c r="Q54" s="1060"/>
      <c r="R54" s="1548"/>
      <c r="S54" s="1060"/>
      <c r="T54" s="1060"/>
      <c r="U54" s="469"/>
      <c r="V54" s="1060"/>
      <c r="W54" s="1060"/>
      <c r="X54" s="1060"/>
      <c r="Y54" s="1060"/>
      <c r="Z54" s="1060"/>
      <c r="AA54" s="1544"/>
      <c r="AB54" s="491"/>
      <c r="AC54" s="491"/>
      <c r="AD54" s="491"/>
      <c r="AE54" s="491"/>
    </row>
    <row r="55" spans="1:31" s="2013" customFormat="1" ht="11.25" customHeight="1">
      <c r="A55" s="895"/>
      <c r="B55" s="1548"/>
      <c r="C55" s="1548"/>
      <c r="D55" s="276"/>
      <c r="K55" s="1060"/>
      <c r="L55" s="1548"/>
      <c r="M55" s="1548"/>
      <c r="N55" s="1060"/>
      <c r="O55" s="1060"/>
      <c r="P55" s="1060"/>
      <c r="Q55" s="1060"/>
      <c r="R55" s="1548"/>
      <c r="S55" s="1060"/>
      <c r="T55" s="1060"/>
      <c r="U55" s="469"/>
      <c r="V55" s="1060"/>
      <c r="W55" s="1060"/>
      <c r="X55" s="1060"/>
      <c r="Y55" s="1060"/>
      <c r="Z55" s="1060"/>
      <c r="AA55" s="1544"/>
      <c r="AB55" s="491"/>
      <c r="AC55" s="491"/>
      <c r="AD55" s="491"/>
      <c r="AE55" s="491"/>
    </row>
    <row r="56" spans="1:31" s="2013" customFormat="1" ht="11.25" customHeight="1">
      <c r="A56" s="895"/>
      <c r="B56" s="1548"/>
      <c r="C56" s="1548"/>
      <c r="D56" s="276"/>
      <c r="K56" s="1060"/>
      <c r="L56" s="1548"/>
      <c r="M56" s="1548"/>
      <c r="N56" s="1060"/>
      <c r="O56" s="1060"/>
      <c r="P56" s="1060"/>
      <c r="Q56" s="1060"/>
      <c r="R56" s="1548"/>
      <c r="S56" s="1060"/>
      <c r="T56" s="1060"/>
      <c r="U56" s="469"/>
      <c r="V56" s="1060"/>
      <c r="W56" s="1060"/>
      <c r="X56" s="1060"/>
      <c r="Y56" s="1060"/>
      <c r="Z56" s="1060"/>
      <c r="AA56" s="1544"/>
      <c r="AB56" s="491"/>
      <c r="AC56" s="491"/>
      <c r="AD56" s="491"/>
      <c r="AE56" s="491"/>
    </row>
    <row r="57" spans="1:31" s="2013" customFormat="1" ht="11.25" customHeight="1">
      <c r="A57" s="895"/>
      <c r="B57" s="1548"/>
      <c r="C57" s="1548"/>
      <c r="D57" s="276"/>
      <c r="K57" s="1060"/>
      <c r="L57" s="1548"/>
      <c r="M57" s="1548"/>
      <c r="N57" s="1060"/>
      <c r="O57" s="1060"/>
      <c r="P57" s="1060"/>
      <c r="Q57" s="1060"/>
      <c r="R57" s="1548"/>
      <c r="S57" s="1060"/>
      <c r="T57" s="1060"/>
      <c r="U57" s="469"/>
      <c r="V57" s="1060"/>
      <c r="W57" s="1060"/>
      <c r="X57" s="1060"/>
      <c r="Y57" s="1060"/>
      <c r="Z57" s="1060"/>
      <c r="AA57" s="1544"/>
      <c r="AB57" s="491"/>
      <c r="AC57" s="491"/>
      <c r="AD57" s="491"/>
      <c r="AE57" s="491"/>
    </row>
    <row r="58" spans="1:31" s="2013" customFormat="1" ht="11.25" customHeight="1">
      <c r="A58" s="895"/>
      <c r="B58" s="1548"/>
      <c r="C58" s="1548"/>
      <c r="D58" s="276"/>
      <c r="K58" s="1060"/>
      <c r="L58" s="1548"/>
      <c r="M58" s="1548"/>
      <c r="N58" s="1060"/>
      <c r="O58" s="1060"/>
      <c r="P58" s="1060"/>
      <c r="Q58" s="1060"/>
      <c r="R58" s="1548"/>
      <c r="S58" s="1060"/>
      <c r="T58" s="1060"/>
      <c r="U58" s="469"/>
      <c r="V58" s="1060"/>
      <c r="W58" s="1060"/>
      <c r="X58" s="1060"/>
      <c r="Y58" s="1060"/>
      <c r="Z58" s="1060"/>
      <c r="AA58" s="1544"/>
      <c r="AB58" s="491"/>
      <c r="AC58" s="491"/>
      <c r="AD58" s="491"/>
      <c r="AE58" s="491"/>
    </row>
    <row r="59" spans="1:31" s="2013" customFormat="1" ht="11.25" customHeight="1">
      <c r="A59" s="895"/>
      <c r="B59" s="1548"/>
      <c r="C59" s="1548"/>
      <c r="D59" s="276"/>
      <c r="K59" s="1060"/>
      <c r="L59" s="1548"/>
      <c r="M59" s="1548"/>
      <c r="N59" s="1060"/>
      <c r="O59" s="1060"/>
      <c r="P59" s="1060"/>
      <c r="Q59" s="1060"/>
      <c r="R59" s="1548"/>
      <c r="S59" s="1060"/>
      <c r="T59" s="1060"/>
      <c r="U59" s="469"/>
      <c r="V59" s="1060"/>
      <c r="W59" s="1060"/>
      <c r="X59" s="1060"/>
      <c r="Y59" s="1060"/>
      <c r="Z59" s="1060"/>
      <c r="AA59" s="1544"/>
      <c r="AB59" s="491"/>
      <c r="AC59" s="491"/>
      <c r="AD59" s="491"/>
      <c r="AE59" s="491"/>
    </row>
    <row r="60" spans="1:31" s="2013" customFormat="1" ht="11.25" customHeight="1">
      <c r="A60" s="895"/>
      <c r="B60" s="1548"/>
      <c r="C60" s="1548"/>
      <c r="D60" s="276"/>
      <c r="K60" s="1060"/>
      <c r="L60" s="1548"/>
      <c r="M60" s="1548"/>
      <c r="N60" s="1060"/>
      <c r="O60" s="1060"/>
      <c r="P60" s="1060"/>
      <c r="Q60" s="1060"/>
      <c r="R60" s="1548"/>
      <c r="S60" s="1060"/>
      <c r="T60" s="1060"/>
      <c r="U60" s="469"/>
      <c r="V60" s="1060"/>
      <c r="W60" s="1060"/>
      <c r="X60" s="1060"/>
      <c r="Y60" s="1060"/>
      <c r="Z60" s="1060"/>
      <c r="AA60" s="1544"/>
      <c r="AB60" s="491"/>
      <c r="AC60" s="491"/>
      <c r="AD60" s="491"/>
      <c r="AE60" s="491"/>
    </row>
    <row r="61" spans="1:31" s="2013" customFormat="1" ht="11.25" customHeight="1">
      <c r="A61" s="895"/>
      <c r="B61" s="1548"/>
      <c r="C61" s="1548"/>
      <c r="D61" s="276"/>
      <c r="K61" s="1060"/>
      <c r="L61" s="1548"/>
      <c r="M61" s="1548"/>
      <c r="N61" s="1060"/>
      <c r="O61" s="1060"/>
      <c r="P61" s="1060"/>
      <c r="Q61" s="1060"/>
      <c r="R61" s="1548"/>
      <c r="S61" s="1060"/>
      <c r="T61" s="1060"/>
      <c r="U61" s="469"/>
      <c r="V61" s="1060"/>
      <c r="W61" s="1060"/>
      <c r="X61" s="1060"/>
      <c r="Y61" s="1060"/>
      <c r="Z61" s="1060"/>
      <c r="AA61" s="1544"/>
      <c r="AB61" s="491"/>
      <c r="AC61" s="491"/>
      <c r="AD61" s="491"/>
      <c r="AE61" s="491"/>
    </row>
    <row r="62" spans="1:31" s="2013" customFormat="1" ht="11.25" customHeight="1">
      <c r="A62" s="895"/>
      <c r="B62" s="1548"/>
      <c r="C62" s="1548"/>
      <c r="D62" s="276"/>
      <c r="K62" s="1060"/>
      <c r="L62" s="1548"/>
      <c r="M62" s="1548"/>
      <c r="N62" s="1060"/>
      <c r="O62" s="1060"/>
      <c r="P62" s="1060"/>
      <c r="Q62" s="1060"/>
      <c r="R62" s="1548"/>
      <c r="S62" s="1060"/>
      <c r="T62" s="1060"/>
      <c r="U62" s="469"/>
      <c r="V62" s="1060"/>
      <c r="W62" s="1060"/>
      <c r="X62" s="1060"/>
      <c r="Y62" s="1060"/>
      <c r="Z62" s="1060"/>
      <c r="AA62" s="1544"/>
      <c r="AB62" s="491"/>
      <c r="AC62" s="491"/>
      <c r="AD62" s="491"/>
      <c r="AE62" s="491"/>
    </row>
    <row r="63" spans="1:31" s="2013" customFormat="1" ht="11.25" customHeight="1">
      <c r="A63" s="895"/>
      <c r="B63" s="1548"/>
      <c r="C63" s="1548"/>
      <c r="D63" s="276"/>
      <c r="K63" s="1060"/>
      <c r="L63" s="1548"/>
      <c r="M63" s="1548"/>
      <c r="N63" s="1060"/>
      <c r="O63" s="1060"/>
      <c r="P63" s="1060"/>
      <c r="Q63" s="1060"/>
      <c r="R63" s="1548"/>
      <c r="S63" s="1060"/>
      <c r="T63" s="1060"/>
      <c r="U63" s="469"/>
      <c r="V63" s="1060"/>
      <c r="W63" s="1060"/>
      <c r="X63" s="1060"/>
      <c r="Y63" s="1060"/>
      <c r="Z63" s="1060"/>
      <c r="AA63" s="1544"/>
      <c r="AB63" s="491"/>
      <c r="AC63" s="491"/>
      <c r="AD63" s="491"/>
      <c r="AE63" s="491"/>
    </row>
    <row r="64" spans="1:31" s="2013" customFormat="1" ht="11.25" customHeight="1">
      <c r="A64" s="895"/>
      <c r="B64" s="1548"/>
      <c r="C64" s="1548"/>
      <c r="D64" s="276"/>
      <c r="K64" s="1060"/>
      <c r="L64" s="1548"/>
      <c r="M64" s="1548"/>
      <c r="N64" s="1060"/>
      <c r="O64" s="1060"/>
      <c r="P64" s="1060"/>
      <c r="Q64" s="1060"/>
      <c r="R64" s="1548"/>
      <c r="S64" s="1060"/>
      <c r="T64" s="1060"/>
      <c r="U64" s="469"/>
      <c r="V64" s="1060"/>
      <c r="W64" s="1060"/>
      <c r="X64" s="1060"/>
      <c r="Y64" s="1060"/>
      <c r="Z64" s="1060"/>
      <c r="AA64" s="1544"/>
      <c r="AB64" s="491"/>
      <c r="AC64" s="491"/>
      <c r="AD64" s="491"/>
      <c r="AE64" s="491"/>
    </row>
    <row r="65" spans="1:31" s="2013" customFormat="1" ht="11.25" customHeight="1">
      <c r="A65" s="895"/>
      <c r="B65" s="1548"/>
      <c r="C65" s="1548"/>
      <c r="D65" s="276"/>
      <c r="K65" s="1060"/>
      <c r="L65" s="1548"/>
      <c r="M65" s="1548"/>
      <c r="N65" s="1060"/>
      <c r="O65" s="1060"/>
      <c r="P65" s="1060"/>
      <c r="Q65" s="1060"/>
      <c r="R65" s="1548"/>
      <c r="S65" s="1060"/>
      <c r="T65" s="1060"/>
      <c r="U65" s="469"/>
      <c r="V65" s="1060"/>
      <c r="W65" s="1060"/>
      <c r="X65" s="1060"/>
      <c r="Y65" s="1060"/>
      <c r="Z65" s="1060"/>
      <c r="AA65" s="1544"/>
      <c r="AB65" s="491"/>
      <c r="AC65" s="491"/>
      <c r="AD65" s="491"/>
      <c r="AE65" s="491"/>
    </row>
    <row r="66" spans="1:31" s="2013" customFormat="1" ht="11.25" customHeight="1">
      <c r="A66" s="895"/>
      <c r="B66" s="1548"/>
      <c r="C66" s="1548"/>
      <c r="D66" s="276"/>
      <c r="K66" s="1060"/>
      <c r="L66" s="1548"/>
      <c r="M66" s="1548"/>
      <c r="N66" s="1060"/>
      <c r="O66" s="1060"/>
      <c r="P66" s="1060"/>
      <c r="Q66" s="1060"/>
      <c r="R66" s="1548"/>
      <c r="S66" s="1060"/>
      <c r="T66" s="1060"/>
      <c r="U66" s="469"/>
      <c r="V66" s="1060"/>
      <c r="W66" s="1060"/>
      <c r="X66" s="1060"/>
      <c r="Y66" s="1060"/>
      <c r="Z66" s="1060"/>
      <c r="AA66" s="1544"/>
      <c r="AB66" s="491"/>
      <c r="AC66" s="491"/>
      <c r="AD66" s="491"/>
      <c r="AE66" s="491"/>
    </row>
    <row r="67" spans="1:31" s="2013" customFormat="1" ht="11.25" customHeight="1">
      <c r="A67" s="895"/>
      <c r="B67" s="1548"/>
      <c r="C67" s="1548"/>
      <c r="D67" s="276"/>
      <c r="K67" s="1060"/>
      <c r="L67" s="1548"/>
      <c r="M67" s="1548"/>
      <c r="N67" s="1060"/>
      <c r="O67" s="1060"/>
      <c r="P67" s="1060"/>
      <c r="Q67" s="1060"/>
      <c r="R67" s="1548"/>
      <c r="S67" s="1060"/>
      <c r="T67" s="1060"/>
      <c r="U67" s="469"/>
      <c r="V67" s="1060"/>
      <c r="W67" s="1060"/>
      <c r="X67" s="1060"/>
      <c r="Y67" s="1060"/>
      <c r="Z67" s="1060"/>
      <c r="AA67" s="1544"/>
      <c r="AB67" s="491"/>
      <c r="AC67" s="491"/>
      <c r="AD67" s="491"/>
      <c r="AE67" s="491"/>
    </row>
    <row r="68" spans="1:31" s="2013" customFormat="1" ht="11.25" customHeight="1">
      <c r="A68" s="895"/>
      <c r="B68" s="1548"/>
      <c r="C68" s="1548"/>
      <c r="D68" s="276"/>
      <c r="K68" s="1060"/>
      <c r="L68" s="1548"/>
      <c r="M68" s="1548"/>
      <c r="N68" s="1060"/>
      <c r="O68" s="1060"/>
      <c r="P68" s="1060"/>
      <c r="Q68" s="1060"/>
      <c r="R68" s="1548"/>
      <c r="S68" s="1060"/>
      <c r="T68" s="1060"/>
      <c r="U68" s="469"/>
      <c r="V68" s="1060"/>
      <c r="W68" s="1060"/>
      <c r="X68" s="1060"/>
      <c r="Y68" s="1060"/>
      <c r="Z68" s="1060"/>
      <c r="AA68" s="1544"/>
      <c r="AB68" s="491"/>
      <c r="AC68" s="491"/>
      <c r="AD68" s="491"/>
      <c r="AE68" s="491"/>
    </row>
    <row r="69" spans="1:31" s="2013" customFormat="1" ht="11.25" customHeight="1">
      <c r="A69" s="895"/>
      <c r="B69" s="1548"/>
      <c r="C69" s="1548"/>
      <c r="D69" s="276"/>
      <c r="K69" s="1060"/>
      <c r="L69" s="1548"/>
      <c r="M69" s="1548"/>
      <c r="N69" s="1060"/>
      <c r="O69" s="1060"/>
      <c r="P69" s="1060"/>
      <c r="Q69" s="1060"/>
      <c r="R69" s="1548"/>
      <c r="S69" s="1060"/>
      <c r="T69" s="1060"/>
      <c r="U69" s="469"/>
      <c r="V69" s="1060"/>
      <c r="W69" s="1060"/>
      <c r="X69" s="1060"/>
      <c r="Y69" s="1060"/>
      <c r="Z69" s="1060"/>
      <c r="AA69" s="1544"/>
      <c r="AB69" s="491"/>
      <c r="AC69" s="491"/>
      <c r="AD69" s="491"/>
      <c r="AE69" s="491"/>
    </row>
    <row r="70" spans="1:31" s="2013" customFormat="1" ht="11.25" customHeight="1">
      <c r="A70" s="895"/>
      <c r="B70" s="1548"/>
      <c r="C70" s="1548"/>
      <c r="D70" s="276"/>
      <c r="K70" s="1060"/>
      <c r="L70" s="1548"/>
      <c r="M70" s="1548"/>
      <c r="N70" s="1060"/>
      <c r="O70" s="1060"/>
      <c r="P70" s="1060"/>
      <c r="Q70" s="1060"/>
      <c r="R70" s="1548"/>
      <c r="S70" s="1060"/>
      <c r="T70" s="1060"/>
      <c r="U70" s="469"/>
      <c r="V70" s="1060"/>
      <c r="W70" s="1060"/>
      <c r="X70" s="1060"/>
      <c r="Y70" s="1060"/>
      <c r="Z70" s="1060"/>
      <c r="AA70" s="1544"/>
      <c r="AB70" s="491"/>
      <c r="AC70" s="491"/>
      <c r="AD70" s="491"/>
      <c r="AE70" s="491"/>
    </row>
    <row r="71" spans="1:31" s="2013" customFormat="1" ht="11.25" customHeight="1">
      <c r="A71" s="895"/>
      <c r="B71" s="1548"/>
      <c r="C71" s="1548"/>
      <c r="D71" s="276"/>
      <c r="K71" s="1060"/>
      <c r="L71" s="1548"/>
      <c r="M71" s="1548"/>
      <c r="N71" s="1060"/>
      <c r="O71" s="1060"/>
      <c r="P71" s="1060"/>
      <c r="Q71" s="1060"/>
      <c r="R71" s="1548"/>
      <c r="S71" s="1060"/>
      <c r="T71" s="1060"/>
      <c r="U71" s="469"/>
      <c r="V71" s="1060"/>
      <c r="W71" s="1060"/>
      <c r="X71" s="1060"/>
      <c r="Y71" s="1060"/>
      <c r="Z71" s="1060"/>
      <c r="AA71" s="1544"/>
      <c r="AB71" s="491"/>
      <c r="AC71" s="491"/>
      <c r="AD71" s="491"/>
      <c r="AE71" s="491"/>
    </row>
    <row r="72" spans="1:31" s="2013" customFormat="1" ht="11.25" customHeight="1">
      <c r="A72" s="895"/>
      <c r="B72" s="1548"/>
      <c r="C72" s="1548"/>
      <c r="D72" s="276"/>
      <c r="K72" s="1060"/>
      <c r="L72" s="1548"/>
      <c r="M72" s="1548"/>
      <c r="N72" s="1060"/>
      <c r="O72" s="1060"/>
      <c r="P72" s="1060"/>
      <c r="Q72" s="1060"/>
      <c r="R72" s="1548"/>
      <c r="S72" s="1060"/>
      <c r="T72" s="1060"/>
      <c r="U72" s="469"/>
      <c r="V72" s="1060"/>
      <c r="W72" s="1060"/>
      <c r="X72" s="1060"/>
      <c r="Y72" s="1060"/>
      <c r="Z72" s="1060"/>
      <c r="AA72" s="1544"/>
      <c r="AB72" s="491"/>
      <c r="AC72" s="491"/>
      <c r="AD72" s="491"/>
      <c r="AE72" s="491"/>
    </row>
    <row r="73" spans="1:31" s="2013" customFormat="1" ht="11.25" customHeight="1">
      <c r="A73" s="895"/>
      <c r="B73" s="1548"/>
      <c r="C73" s="1548"/>
      <c r="D73" s="276"/>
      <c r="K73" s="1060"/>
      <c r="L73" s="1548"/>
      <c r="M73" s="1548"/>
      <c r="N73" s="1060"/>
      <c r="O73" s="1060"/>
      <c r="P73" s="1060"/>
      <c r="Q73" s="1060"/>
      <c r="R73" s="1548"/>
      <c r="S73" s="1060"/>
      <c r="T73" s="1060"/>
      <c r="U73" s="469"/>
      <c r="V73" s="1060"/>
      <c r="W73" s="1060"/>
      <c r="X73" s="1060"/>
      <c r="Y73" s="1060"/>
      <c r="Z73" s="1060"/>
      <c r="AA73" s="1544"/>
      <c r="AB73" s="491"/>
      <c r="AC73" s="491"/>
      <c r="AD73" s="491"/>
      <c r="AE73" s="491"/>
    </row>
    <row r="74" spans="1:31" s="2013" customFormat="1" ht="11.25" customHeight="1">
      <c r="A74" s="895"/>
      <c r="B74" s="1548"/>
      <c r="C74" s="1548"/>
      <c r="D74" s="276"/>
      <c r="K74" s="1060"/>
      <c r="L74" s="1548"/>
      <c r="M74" s="1548"/>
      <c r="N74" s="1060"/>
      <c r="O74" s="1060"/>
      <c r="P74" s="1060"/>
      <c r="Q74" s="1060"/>
      <c r="R74" s="1548"/>
      <c r="S74" s="1060"/>
      <c r="T74" s="1060"/>
      <c r="U74" s="469"/>
      <c r="V74" s="1060"/>
      <c r="W74" s="1060"/>
      <c r="X74" s="1060"/>
      <c r="Y74" s="1060"/>
      <c r="Z74" s="1060"/>
      <c r="AA74" s="1544"/>
      <c r="AB74" s="491"/>
      <c r="AC74" s="491"/>
      <c r="AD74" s="491"/>
      <c r="AE74" s="491"/>
    </row>
    <row r="75" spans="1:31" s="2013" customFormat="1" ht="11.25" customHeight="1">
      <c r="A75" s="895"/>
      <c r="B75" s="1548"/>
      <c r="C75" s="1548"/>
      <c r="D75" s="276"/>
      <c r="K75" s="1060"/>
      <c r="L75" s="1548"/>
      <c r="M75" s="1548"/>
      <c r="N75" s="1060"/>
      <c r="O75" s="1060"/>
      <c r="P75" s="1060"/>
      <c r="Q75" s="1060"/>
      <c r="R75" s="1548"/>
      <c r="S75" s="1060"/>
      <c r="T75" s="1060"/>
      <c r="U75" s="469"/>
      <c r="V75" s="1060"/>
      <c r="W75" s="1060"/>
      <c r="X75" s="1060"/>
      <c r="Y75" s="1060"/>
      <c r="Z75" s="1060"/>
      <c r="AA75" s="1544"/>
      <c r="AB75" s="491"/>
      <c r="AC75" s="491"/>
      <c r="AD75" s="491"/>
      <c r="AE75" s="491"/>
    </row>
    <row r="76" spans="1:31" s="2013" customFormat="1" ht="11.25" customHeight="1">
      <c r="A76" s="895"/>
      <c r="B76" s="1548"/>
      <c r="C76" s="1548"/>
      <c r="D76" s="276"/>
      <c r="K76" s="1060"/>
      <c r="L76" s="1548"/>
      <c r="M76" s="1548"/>
      <c r="N76" s="1060"/>
      <c r="O76" s="1060"/>
      <c r="P76" s="1060"/>
      <c r="Q76" s="1060"/>
      <c r="R76" s="1548"/>
      <c r="S76" s="1060"/>
      <c r="T76" s="1060"/>
      <c r="U76" s="469"/>
      <c r="V76" s="1060"/>
      <c r="W76" s="1060"/>
      <c r="X76" s="1060"/>
      <c r="Y76" s="1060"/>
      <c r="Z76" s="1060"/>
      <c r="AA76" s="1544"/>
      <c r="AB76" s="491"/>
      <c r="AC76" s="491"/>
      <c r="AD76" s="491"/>
      <c r="AE76" s="491"/>
    </row>
    <row r="77" spans="1:31" s="2013" customFormat="1" ht="11.25" customHeight="1">
      <c r="A77" s="895"/>
      <c r="B77" s="1548"/>
      <c r="C77" s="1548"/>
      <c r="D77" s="276"/>
      <c r="K77" s="1060"/>
      <c r="L77" s="1548"/>
      <c r="M77" s="1548"/>
      <c r="N77" s="1060"/>
      <c r="O77" s="1060"/>
      <c r="P77" s="1060"/>
      <c r="Q77" s="1060"/>
      <c r="R77" s="1548"/>
      <c r="S77" s="1060"/>
      <c r="T77" s="1060"/>
      <c r="U77" s="469"/>
      <c r="V77" s="1060"/>
      <c r="W77" s="1060"/>
      <c r="X77" s="1060"/>
      <c r="Y77" s="1060"/>
      <c r="Z77" s="1060"/>
      <c r="AA77" s="1544"/>
      <c r="AB77" s="491"/>
      <c r="AC77" s="491"/>
      <c r="AD77" s="491"/>
      <c r="AE77" s="491"/>
    </row>
    <row r="78" spans="1:31" s="2013" customFormat="1" ht="11.25" customHeight="1">
      <c r="A78" s="895"/>
      <c r="B78" s="1548"/>
      <c r="C78" s="1548"/>
      <c r="D78" s="276"/>
      <c r="K78" s="1060"/>
      <c r="L78" s="1548"/>
      <c r="M78" s="1548"/>
      <c r="N78" s="1060"/>
      <c r="O78" s="1060"/>
      <c r="P78" s="1060"/>
      <c r="Q78" s="1060"/>
      <c r="R78" s="1548"/>
      <c r="S78" s="1060"/>
      <c r="T78" s="1060"/>
      <c r="U78" s="469"/>
      <c r="V78" s="1060"/>
      <c r="W78" s="1060"/>
      <c r="X78" s="1060"/>
      <c r="Y78" s="1060"/>
      <c r="Z78" s="1060"/>
      <c r="AA78" s="1544"/>
      <c r="AB78" s="491"/>
      <c r="AC78" s="491"/>
      <c r="AD78" s="491"/>
      <c r="AE78" s="491"/>
    </row>
    <row r="79" spans="1:31" s="2013" customFormat="1" ht="11.25" customHeight="1">
      <c r="A79" s="895"/>
      <c r="B79" s="1548"/>
      <c r="C79" s="1548"/>
      <c r="D79" s="276"/>
      <c r="K79" s="1060"/>
      <c r="L79" s="1548"/>
      <c r="M79" s="1548"/>
      <c r="N79" s="1060"/>
      <c r="O79" s="1060"/>
      <c r="P79" s="1060"/>
      <c r="Q79" s="1060"/>
      <c r="R79" s="1548"/>
      <c r="S79" s="1060"/>
      <c r="T79" s="1060"/>
      <c r="U79" s="469"/>
      <c r="V79" s="1060"/>
      <c r="W79" s="1060"/>
      <c r="X79" s="1060"/>
      <c r="Y79" s="1060"/>
      <c r="Z79" s="1060"/>
      <c r="AA79" s="1544"/>
      <c r="AB79" s="491"/>
      <c r="AC79" s="491"/>
      <c r="AD79" s="491"/>
      <c r="AE79" s="491"/>
    </row>
    <row r="80" spans="1:31" s="2013" customFormat="1" ht="11.25" customHeight="1">
      <c r="A80" s="895"/>
      <c r="B80" s="1548"/>
      <c r="C80" s="1548"/>
      <c r="D80" s="276"/>
      <c r="K80" s="1060"/>
      <c r="L80" s="1548"/>
      <c r="M80" s="1548"/>
      <c r="N80" s="1060"/>
      <c r="O80" s="1060"/>
      <c r="P80" s="1060"/>
      <c r="Q80" s="1060"/>
      <c r="R80" s="1548"/>
      <c r="S80" s="1060"/>
      <c r="T80" s="1060"/>
      <c r="U80" s="469"/>
      <c r="V80" s="1060"/>
      <c r="W80" s="1060"/>
      <c r="X80" s="1060"/>
      <c r="Y80" s="1060"/>
      <c r="Z80" s="1060"/>
      <c r="AA80" s="1544"/>
      <c r="AB80" s="491"/>
      <c r="AC80" s="491"/>
      <c r="AD80" s="491"/>
      <c r="AE80" s="491"/>
    </row>
    <row r="81" spans="1:31" s="2013" customFormat="1" ht="11.25" customHeight="1">
      <c r="A81" s="895"/>
      <c r="B81" s="1548"/>
      <c r="C81" s="1548"/>
      <c r="D81" s="276"/>
      <c r="K81" s="1060"/>
      <c r="L81" s="1548"/>
      <c r="M81" s="1548"/>
      <c r="N81" s="1060"/>
      <c r="O81" s="1060"/>
      <c r="P81" s="1060"/>
      <c r="Q81" s="1060"/>
      <c r="R81" s="1548"/>
      <c r="S81" s="1060"/>
      <c r="T81" s="1060"/>
      <c r="U81" s="469"/>
      <c r="V81" s="1060"/>
      <c r="W81" s="1060"/>
      <c r="X81" s="1060"/>
      <c r="Y81" s="1060"/>
      <c r="Z81" s="1060"/>
      <c r="AA81" s="1544"/>
      <c r="AB81" s="491"/>
      <c r="AC81" s="491"/>
      <c r="AD81" s="491"/>
      <c r="AE81" s="491"/>
    </row>
    <row r="82" spans="1:31" s="2013" customFormat="1" ht="11.25" customHeight="1">
      <c r="A82" s="895"/>
      <c r="B82" s="1548"/>
      <c r="C82" s="1548"/>
      <c r="D82" s="276"/>
      <c r="K82" s="1060"/>
      <c r="L82" s="1548"/>
      <c r="M82" s="1548"/>
      <c r="N82" s="1060"/>
      <c r="O82" s="1060"/>
      <c r="P82" s="1060"/>
      <c r="Q82" s="1060"/>
      <c r="R82" s="1548"/>
      <c r="S82" s="1060"/>
      <c r="T82" s="1060"/>
      <c r="U82" s="469"/>
      <c r="V82" s="1060"/>
      <c r="W82" s="1060"/>
      <c r="X82" s="1060"/>
      <c r="Y82" s="1060"/>
      <c r="Z82" s="1060"/>
      <c r="AA82" s="1544"/>
      <c r="AB82" s="491"/>
      <c r="AC82" s="491"/>
      <c r="AD82" s="491"/>
      <c r="AE82" s="491"/>
    </row>
    <row r="83" spans="1:31" s="2013" customFormat="1" ht="11.25" customHeight="1">
      <c r="A83" s="895"/>
      <c r="B83" s="1548"/>
      <c r="C83" s="1548"/>
      <c r="D83" s="276"/>
      <c r="K83" s="1060"/>
      <c r="L83" s="1548"/>
      <c r="M83" s="1548"/>
      <c r="N83" s="1060"/>
      <c r="O83" s="1060"/>
      <c r="P83" s="1060"/>
      <c r="Q83" s="1060"/>
      <c r="R83" s="1548"/>
      <c r="S83" s="1060"/>
      <c r="T83" s="1060"/>
      <c r="U83" s="469"/>
      <c r="V83" s="1060"/>
      <c r="W83" s="1060"/>
      <c r="X83" s="1060"/>
      <c r="Y83" s="1060"/>
      <c r="Z83" s="1060"/>
      <c r="AA83" s="1544"/>
      <c r="AB83" s="491"/>
      <c r="AC83" s="491"/>
      <c r="AD83" s="491"/>
      <c r="AE83" s="491"/>
    </row>
    <row r="84" spans="1:31" s="2013" customFormat="1" ht="11.25" customHeight="1">
      <c r="A84" s="895"/>
      <c r="B84" s="1548"/>
      <c r="C84" s="1548"/>
      <c r="D84" s="276"/>
      <c r="K84" s="1060"/>
      <c r="L84" s="1548"/>
      <c r="M84" s="1548"/>
      <c r="N84" s="1060"/>
      <c r="O84" s="1060"/>
      <c r="P84" s="1060"/>
      <c r="Q84" s="1060"/>
      <c r="R84" s="1548"/>
      <c r="S84" s="1060"/>
      <c r="T84" s="1060"/>
      <c r="U84" s="469"/>
      <c r="V84" s="1060"/>
      <c r="W84" s="1060"/>
      <c r="X84" s="1060"/>
      <c r="Y84" s="1060"/>
      <c r="Z84" s="1060"/>
      <c r="AA84" s="1544"/>
      <c r="AB84" s="491"/>
      <c r="AC84" s="491"/>
      <c r="AD84" s="491"/>
      <c r="AE84" s="491"/>
    </row>
    <row r="85" spans="1:31" s="2013" customFormat="1" ht="11.25" customHeight="1">
      <c r="A85" s="895"/>
      <c r="B85" s="1548"/>
      <c r="C85" s="1548"/>
      <c r="D85" s="276"/>
      <c r="K85" s="1060"/>
      <c r="L85" s="1548"/>
      <c r="M85" s="1548"/>
      <c r="N85" s="1060"/>
      <c r="O85" s="1060"/>
      <c r="P85" s="1060"/>
      <c r="Q85" s="1060"/>
      <c r="R85" s="1548"/>
      <c r="S85" s="1060"/>
      <c r="T85" s="1060"/>
      <c r="U85" s="469"/>
      <c r="V85" s="1060"/>
      <c r="W85" s="1060"/>
      <c r="X85" s="1060"/>
      <c r="Y85" s="1060"/>
      <c r="Z85" s="1060"/>
      <c r="AA85" s="1544"/>
      <c r="AB85" s="491"/>
      <c r="AC85" s="491"/>
      <c r="AD85" s="491"/>
      <c r="AE85" s="491"/>
    </row>
    <row r="86" spans="1:31" s="2013" customFormat="1" ht="11.25" customHeight="1">
      <c r="A86" s="895"/>
      <c r="B86" s="1548"/>
      <c r="C86" s="1548"/>
      <c r="D86" s="276"/>
      <c r="K86" s="1060"/>
      <c r="L86" s="1548"/>
      <c r="M86" s="1548"/>
      <c r="N86" s="1060"/>
      <c r="O86" s="1060"/>
      <c r="P86" s="1060"/>
      <c r="Q86" s="1060"/>
      <c r="R86" s="1548"/>
      <c r="S86" s="1060"/>
      <c r="T86" s="1060"/>
      <c r="U86" s="469"/>
      <c r="V86" s="1060"/>
      <c r="W86" s="1060"/>
      <c r="X86" s="1060"/>
      <c r="Y86" s="1060"/>
      <c r="Z86" s="1060"/>
      <c r="AA86" s="1544"/>
      <c r="AB86" s="491"/>
      <c r="AC86" s="491"/>
      <c r="AD86" s="491"/>
      <c r="AE86" s="491"/>
    </row>
    <row r="87" spans="1:31" s="2013" customFormat="1" ht="11.25" customHeight="1">
      <c r="A87" s="895"/>
      <c r="B87" s="1548"/>
      <c r="C87" s="1548"/>
      <c r="D87" s="276"/>
      <c r="K87" s="1060"/>
      <c r="L87" s="1548"/>
      <c r="M87" s="1548"/>
      <c r="N87" s="1060"/>
      <c r="O87" s="1060"/>
      <c r="P87" s="1060"/>
      <c r="Q87" s="1060"/>
      <c r="R87" s="1548"/>
      <c r="S87" s="1060"/>
      <c r="T87" s="1060"/>
      <c r="U87" s="469"/>
      <c r="V87" s="1060"/>
      <c r="W87" s="1060"/>
      <c r="X87" s="1060"/>
      <c r="Y87" s="1060"/>
      <c r="Z87" s="1060"/>
      <c r="AA87" s="1544"/>
      <c r="AB87" s="491"/>
      <c r="AC87" s="491"/>
      <c r="AD87" s="491"/>
      <c r="AE87" s="491"/>
    </row>
    <row r="88" spans="1:31" s="2013" customFormat="1" ht="11.25" customHeight="1">
      <c r="A88" s="895"/>
      <c r="B88" s="1548"/>
      <c r="C88" s="1548"/>
      <c r="D88" s="276"/>
      <c r="K88" s="1060"/>
      <c r="L88" s="1548"/>
      <c r="M88" s="1548"/>
      <c r="N88" s="1060"/>
      <c r="O88" s="1060"/>
      <c r="P88" s="1060"/>
      <c r="Q88" s="1060"/>
      <c r="R88" s="1548"/>
      <c r="S88" s="1060"/>
      <c r="T88" s="1060"/>
      <c r="U88" s="469"/>
      <c r="V88" s="1060"/>
      <c r="W88" s="1060"/>
      <c r="X88" s="1060"/>
      <c r="Y88" s="1060"/>
      <c r="Z88" s="1060"/>
      <c r="AA88" s="1544"/>
      <c r="AB88" s="491"/>
      <c r="AC88" s="491"/>
      <c r="AD88" s="491"/>
      <c r="AE88" s="491"/>
    </row>
    <row r="89" spans="1:31" s="2013" customFormat="1" ht="11.25" customHeight="1">
      <c r="A89" s="895"/>
      <c r="B89" s="1548"/>
      <c r="C89" s="1548"/>
      <c r="D89" s="276"/>
      <c r="K89" s="1060"/>
      <c r="L89" s="1548"/>
      <c r="M89" s="1548"/>
      <c r="N89" s="1060"/>
      <c r="O89" s="1060"/>
      <c r="P89" s="1060"/>
      <c r="Q89" s="1060"/>
      <c r="R89" s="1548"/>
      <c r="S89" s="1060"/>
      <c r="T89" s="1060"/>
      <c r="U89" s="469"/>
      <c r="V89" s="1060"/>
      <c r="W89" s="1060"/>
      <c r="X89" s="1060"/>
      <c r="Y89" s="1060"/>
      <c r="Z89" s="1060"/>
      <c r="AA89" s="1544"/>
      <c r="AB89" s="491"/>
      <c r="AC89" s="491"/>
      <c r="AD89" s="491"/>
      <c r="AE89" s="491"/>
    </row>
    <row r="90" spans="1:31" s="2013" customFormat="1" ht="11.25" customHeight="1">
      <c r="A90" s="895"/>
      <c r="B90" s="1548"/>
      <c r="C90" s="1548"/>
      <c r="D90" s="276"/>
      <c r="K90" s="1060"/>
      <c r="L90" s="1548"/>
      <c r="M90" s="1548"/>
      <c r="N90" s="1060"/>
      <c r="O90" s="1060"/>
      <c r="P90" s="1060"/>
      <c r="Q90" s="1060"/>
      <c r="R90" s="1548"/>
      <c r="S90" s="1060"/>
      <c r="T90" s="1060"/>
      <c r="U90" s="469"/>
      <c r="V90" s="1060"/>
      <c r="W90" s="1060"/>
      <c r="X90" s="1060"/>
      <c r="Y90" s="1060"/>
      <c r="Z90" s="1060"/>
      <c r="AA90" s="1544"/>
      <c r="AB90" s="491"/>
      <c r="AC90" s="491"/>
      <c r="AD90" s="491"/>
      <c r="AE90" s="491"/>
    </row>
    <row r="91" spans="1:31" s="2013" customFormat="1" ht="11.25" customHeight="1">
      <c r="A91" s="895"/>
      <c r="B91" s="1548"/>
      <c r="C91" s="1548"/>
      <c r="D91" s="276"/>
      <c r="K91" s="1060"/>
      <c r="L91" s="1548"/>
      <c r="M91" s="1548"/>
      <c r="N91" s="1060"/>
      <c r="O91" s="1060"/>
      <c r="P91" s="1060"/>
      <c r="Q91" s="1060"/>
      <c r="R91" s="1548"/>
      <c r="S91" s="1060"/>
      <c r="T91" s="1060"/>
      <c r="U91" s="469"/>
      <c r="V91" s="1060"/>
      <c r="W91" s="1060"/>
      <c r="X91" s="1060"/>
      <c r="Y91" s="1060"/>
      <c r="Z91" s="1060"/>
      <c r="AA91" s="1544"/>
      <c r="AB91" s="491"/>
      <c r="AC91" s="491"/>
      <c r="AD91" s="491"/>
      <c r="AE91" s="491"/>
    </row>
    <row r="92" spans="1:31" s="2013" customFormat="1" ht="11.25" customHeight="1">
      <c r="A92" s="895"/>
      <c r="B92" s="1548"/>
      <c r="C92" s="1548"/>
      <c r="D92" s="276"/>
      <c r="K92" s="1060"/>
      <c r="L92" s="1548"/>
      <c r="M92" s="1548"/>
      <c r="N92" s="1060"/>
      <c r="O92" s="1060"/>
      <c r="P92" s="1060"/>
      <c r="Q92" s="1060"/>
      <c r="R92" s="1548"/>
      <c r="S92" s="1060"/>
      <c r="T92" s="1060"/>
      <c r="U92" s="469"/>
      <c r="V92" s="1060"/>
      <c r="W92" s="1060"/>
      <c r="X92" s="1060"/>
      <c r="Y92" s="1060"/>
      <c r="Z92" s="1060"/>
      <c r="AA92" s="1544"/>
      <c r="AB92" s="491"/>
      <c r="AC92" s="491"/>
      <c r="AD92" s="491"/>
      <c r="AE92" s="491"/>
    </row>
    <row r="93" spans="1:31" s="2013" customFormat="1" ht="11.25" customHeight="1">
      <c r="A93" s="895"/>
      <c r="B93" s="1548"/>
      <c r="C93" s="1548"/>
      <c r="D93" s="276"/>
      <c r="K93" s="1060"/>
      <c r="L93" s="1548"/>
      <c r="M93" s="1548"/>
      <c r="N93" s="1060"/>
      <c r="O93" s="1060"/>
      <c r="P93" s="1060"/>
      <c r="Q93" s="1060"/>
      <c r="R93" s="1548"/>
      <c r="S93" s="1060"/>
      <c r="T93" s="1060"/>
      <c r="U93" s="469"/>
      <c r="V93" s="1060"/>
      <c r="W93" s="1060"/>
      <c r="X93" s="1060"/>
      <c r="Y93" s="1060"/>
      <c r="Z93" s="1060"/>
      <c r="AA93" s="1544"/>
      <c r="AB93" s="491"/>
      <c r="AC93" s="491"/>
      <c r="AD93" s="491"/>
      <c r="AE93" s="491"/>
    </row>
    <row r="94" spans="1:31" s="2013" customFormat="1" ht="11.25" customHeight="1">
      <c r="A94" s="895"/>
      <c r="B94" s="1548"/>
      <c r="C94" s="1548"/>
      <c r="D94" s="276"/>
      <c r="K94" s="1060"/>
      <c r="L94" s="1548"/>
      <c r="M94" s="1548"/>
      <c r="N94" s="1060"/>
      <c r="O94" s="1060"/>
      <c r="P94" s="1060"/>
      <c r="Q94" s="1060"/>
      <c r="R94" s="1548"/>
      <c r="S94" s="1060"/>
      <c r="T94" s="1060"/>
      <c r="U94" s="469"/>
      <c r="V94" s="1060"/>
      <c r="W94" s="1060"/>
      <c r="X94" s="1060"/>
      <c r="Y94" s="1060"/>
      <c r="Z94" s="1060"/>
      <c r="AA94" s="1544"/>
      <c r="AB94" s="491"/>
      <c r="AC94" s="491"/>
      <c r="AD94" s="491"/>
      <c r="AE94" s="491"/>
    </row>
    <row r="95" spans="1:31" s="2013" customFormat="1" ht="11.25" customHeight="1">
      <c r="A95" s="895"/>
      <c r="B95" s="1548"/>
      <c r="C95" s="1548"/>
      <c r="D95" s="276"/>
      <c r="K95" s="1060"/>
      <c r="L95" s="1548"/>
      <c r="M95" s="1548"/>
      <c r="N95" s="1060"/>
      <c r="O95" s="1060"/>
      <c r="P95" s="1060"/>
      <c r="Q95" s="1060"/>
      <c r="R95" s="1548"/>
      <c r="S95" s="1060"/>
      <c r="T95" s="1060"/>
      <c r="U95" s="469"/>
      <c r="V95" s="1060"/>
      <c r="W95" s="1060"/>
      <c r="X95" s="1060"/>
      <c r="Y95" s="1060"/>
      <c r="Z95" s="1060"/>
      <c r="AA95" s="1544"/>
      <c r="AB95" s="491"/>
      <c r="AC95" s="491"/>
      <c r="AD95" s="491"/>
      <c r="AE95" s="491"/>
    </row>
    <row r="96" spans="1:31" s="2013" customFormat="1" ht="11.25" customHeight="1">
      <c r="A96" s="895"/>
      <c r="B96" s="1548"/>
      <c r="C96" s="1548"/>
      <c r="D96" s="276"/>
      <c r="K96" s="1060"/>
      <c r="L96" s="1548"/>
      <c r="M96" s="1548"/>
      <c r="N96" s="1060"/>
      <c r="O96" s="1060"/>
      <c r="P96" s="1060"/>
      <c r="Q96" s="1060"/>
      <c r="R96" s="1548"/>
      <c r="S96" s="1060"/>
      <c r="T96" s="1060"/>
      <c r="U96" s="469"/>
      <c r="V96" s="1060"/>
      <c r="W96" s="1060"/>
      <c r="X96" s="1060"/>
      <c r="Y96" s="1060"/>
      <c r="Z96" s="1060"/>
      <c r="AA96" s="1544"/>
      <c r="AB96" s="491"/>
      <c r="AC96" s="491"/>
      <c r="AD96" s="491"/>
      <c r="AE96" s="491"/>
    </row>
    <row r="97" spans="1:31" s="2013" customFormat="1" ht="11.25" customHeight="1">
      <c r="A97" s="895"/>
      <c r="B97" s="1548"/>
      <c r="C97" s="1548"/>
      <c r="D97" s="276"/>
      <c r="K97" s="1060"/>
      <c r="L97" s="1548"/>
      <c r="M97" s="1548"/>
      <c r="N97" s="1060"/>
      <c r="O97" s="1060"/>
      <c r="P97" s="1060"/>
      <c r="Q97" s="1060"/>
      <c r="R97" s="1548"/>
      <c r="S97" s="1060"/>
      <c r="T97" s="1060"/>
      <c r="U97" s="469"/>
      <c r="V97" s="1060"/>
      <c r="W97" s="1060"/>
      <c r="X97" s="1060"/>
      <c r="Y97" s="1060"/>
      <c r="Z97" s="1060"/>
      <c r="AA97" s="1544"/>
      <c r="AB97" s="491"/>
      <c r="AC97" s="491"/>
      <c r="AD97" s="491"/>
      <c r="AE97" s="491"/>
    </row>
    <row r="98" spans="1:31" s="2013" customFormat="1" ht="11.25" customHeight="1">
      <c r="A98" s="895"/>
      <c r="B98" s="1548"/>
      <c r="C98" s="1548"/>
      <c r="D98" s="276"/>
      <c r="K98" s="1060"/>
      <c r="L98" s="1548"/>
      <c r="M98" s="1548"/>
      <c r="N98" s="1060"/>
      <c r="O98" s="1060"/>
      <c r="P98" s="1060"/>
      <c r="Q98" s="1060"/>
      <c r="R98" s="1548"/>
      <c r="S98" s="1060"/>
      <c r="T98" s="1060"/>
      <c r="U98" s="469"/>
      <c r="V98" s="1060"/>
      <c r="W98" s="1060"/>
      <c r="X98" s="1060"/>
      <c r="Y98" s="1060"/>
      <c r="Z98" s="1060"/>
      <c r="AA98" s="1544"/>
      <c r="AB98" s="491"/>
      <c r="AC98" s="491"/>
      <c r="AD98" s="491"/>
      <c r="AE98" s="491"/>
    </row>
    <row r="99" spans="1:31" s="2013" customFormat="1" ht="11.25" customHeight="1">
      <c r="A99" s="895"/>
      <c r="B99" s="1548"/>
      <c r="C99" s="1548"/>
      <c r="D99" s="276"/>
      <c r="K99" s="1060"/>
      <c r="L99" s="1548"/>
      <c r="M99" s="1548"/>
      <c r="N99" s="1060"/>
      <c r="O99" s="1060"/>
      <c r="P99" s="1060"/>
      <c r="Q99" s="1060"/>
      <c r="R99" s="1548"/>
      <c r="S99" s="1060"/>
      <c r="T99" s="1060"/>
      <c r="U99" s="469"/>
      <c r="V99" s="1060"/>
      <c r="W99" s="1060"/>
      <c r="X99" s="1060"/>
      <c r="Y99" s="1060"/>
      <c r="Z99" s="1060"/>
      <c r="AA99" s="1544"/>
      <c r="AB99" s="491"/>
      <c r="AC99" s="491"/>
      <c r="AD99" s="491"/>
      <c r="AE99" s="491"/>
    </row>
    <row r="100" spans="1:31" s="2013" customFormat="1" ht="11.25" customHeight="1">
      <c r="A100" s="895"/>
      <c r="B100" s="1548"/>
      <c r="C100" s="1548"/>
      <c r="D100" s="276"/>
      <c r="K100" s="1060"/>
      <c r="L100" s="1548"/>
      <c r="M100" s="1548"/>
      <c r="N100" s="1060"/>
      <c r="O100" s="1060"/>
      <c r="P100" s="1060"/>
      <c r="Q100" s="1060"/>
      <c r="R100" s="1548"/>
      <c r="S100" s="1060"/>
      <c r="T100" s="1060"/>
      <c r="U100" s="469"/>
      <c r="V100" s="1060"/>
      <c r="W100" s="1060"/>
      <c r="X100" s="1060"/>
      <c r="Y100" s="1060"/>
      <c r="Z100" s="1060"/>
      <c r="AA100" s="1544"/>
      <c r="AB100" s="491"/>
      <c r="AC100" s="491"/>
      <c r="AD100" s="491"/>
      <c r="AE100" s="491"/>
    </row>
    <row r="101" spans="1:31" s="2013" customFormat="1" ht="11.25" customHeight="1">
      <c r="A101" s="895"/>
      <c r="B101" s="1548"/>
      <c r="C101" s="1548"/>
      <c r="D101" s="276"/>
      <c r="K101" s="1060"/>
      <c r="L101" s="1548"/>
      <c r="M101" s="1548"/>
      <c r="N101" s="1060"/>
      <c r="O101" s="1060"/>
      <c r="P101" s="1060"/>
      <c r="Q101" s="1060"/>
      <c r="R101" s="1548"/>
      <c r="S101" s="1060"/>
      <c r="T101" s="1060"/>
      <c r="U101" s="469"/>
      <c r="V101" s="1060"/>
      <c r="W101" s="1060"/>
      <c r="X101" s="1060"/>
      <c r="Y101" s="1060"/>
      <c r="Z101" s="1060"/>
      <c r="AA101" s="1544"/>
      <c r="AB101" s="491"/>
      <c r="AC101" s="491"/>
      <c r="AD101" s="491"/>
      <c r="AE101" s="491"/>
    </row>
    <row r="102" spans="1:31" s="2013" customFormat="1" ht="11.25" customHeight="1">
      <c r="A102" s="895"/>
      <c r="B102" s="1548"/>
      <c r="C102" s="1548"/>
      <c r="D102" s="276"/>
      <c r="K102" s="1060"/>
      <c r="L102" s="1548"/>
      <c r="M102" s="1548"/>
      <c r="N102" s="1060"/>
      <c r="O102" s="1060"/>
      <c r="P102" s="1060"/>
      <c r="Q102" s="1060"/>
      <c r="R102" s="1548"/>
      <c r="S102" s="1060"/>
      <c r="T102" s="1060"/>
      <c r="U102" s="469"/>
      <c r="V102" s="1060"/>
      <c r="W102" s="1060"/>
      <c r="X102" s="1060"/>
      <c r="Y102" s="1060"/>
      <c r="Z102" s="1060"/>
      <c r="AA102" s="1544"/>
      <c r="AB102" s="491"/>
      <c r="AC102" s="491"/>
      <c r="AD102" s="491"/>
      <c r="AE102" s="491"/>
    </row>
    <row r="103" spans="1:31" s="2013" customFormat="1" ht="11.25" customHeight="1">
      <c r="A103" s="895"/>
      <c r="B103" s="1548"/>
      <c r="C103" s="1548"/>
      <c r="D103" s="276"/>
      <c r="K103" s="1060"/>
      <c r="L103" s="1548"/>
      <c r="M103" s="1548"/>
      <c r="N103" s="1060"/>
      <c r="O103" s="1060"/>
      <c r="P103" s="1060"/>
      <c r="Q103" s="1060"/>
      <c r="R103" s="1548"/>
      <c r="S103" s="1060"/>
      <c r="T103" s="1060"/>
      <c r="U103" s="469"/>
      <c r="V103" s="1060"/>
      <c r="W103" s="1060"/>
      <c r="X103" s="1060"/>
      <c r="Y103" s="1060"/>
      <c r="Z103" s="1060"/>
      <c r="AA103" s="1544"/>
      <c r="AB103" s="491"/>
      <c r="AC103" s="491"/>
      <c r="AD103" s="491"/>
      <c r="AE103" s="491"/>
    </row>
    <row r="104" spans="1:31" s="2013" customFormat="1" ht="11.25" customHeight="1">
      <c r="A104" s="895"/>
      <c r="B104" s="1548"/>
      <c r="C104" s="1548"/>
      <c r="D104" s="276"/>
      <c r="K104" s="1060"/>
      <c r="L104" s="1548"/>
      <c r="M104" s="1548"/>
      <c r="N104" s="1060"/>
      <c r="O104" s="1060"/>
      <c r="P104" s="1060"/>
      <c r="Q104" s="1060"/>
      <c r="R104" s="1548"/>
      <c r="S104" s="1060"/>
      <c r="T104" s="1060"/>
      <c r="U104" s="469"/>
      <c r="V104" s="1060"/>
      <c r="W104" s="1060"/>
      <c r="X104" s="1060"/>
      <c r="Y104" s="1060"/>
      <c r="Z104" s="1060"/>
      <c r="AA104" s="1544"/>
      <c r="AB104" s="491"/>
      <c r="AC104" s="491"/>
      <c r="AD104" s="491"/>
      <c r="AE104" s="491"/>
    </row>
    <row r="105" spans="1:31" s="2013" customFormat="1" ht="11.25" customHeight="1">
      <c r="A105" s="895"/>
      <c r="B105" s="1548"/>
      <c r="C105" s="1548"/>
      <c r="D105" s="276"/>
      <c r="K105" s="1060"/>
      <c r="L105" s="1548"/>
      <c r="M105" s="1548"/>
      <c r="N105" s="1060"/>
      <c r="O105" s="1060"/>
      <c r="P105" s="1060"/>
      <c r="Q105" s="1060"/>
      <c r="R105" s="1548"/>
      <c r="S105" s="1060"/>
      <c r="T105" s="1060"/>
      <c r="U105" s="469"/>
      <c r="V105" s="1060"/>
      <c r="W105" s="1060"/>
      <c r="X105" s="1060"/>
      <c r="Y105" s="1060"/>
      <c r="Z105" s="1060"/>
      <c r="AA105" s="1544"/>
      <c r="AB105" s="491"/>
      <c r="AC105" s="491"/>
      <c r="AD105" s="491"/>
      <c r="AE105" s="491"/>
    </row>
    <row r="106" spans="1:31" s="2013" customFormat="1" ht="11.25" customHeight="1">
      <c r="A106" s="895"/>
      <c r="B106" s="1548"/>
      <c r="C106" s="1548"/>
      <c r="D106" s="276"/>
      <c r="K106" s="1060"/>
      <c r="L106" s="1548"/>
      <c r="M106" s="1548"/>
      <c r="N106" s="1060"/>
      <c r="O106" s="1060"/>
      <c r="P106" s="1060"/>
      <c r="Q106" s="1060"/>
      <c r="R106" s="1548"/>
      <c r="S106" s="1060"/>
      <c r="T106" s="1060"/>
      <c r="U106" s="469"/>
      <c r="V106" s="1060"/>
      <c r="W106" s="1060"/>
      <c r="X106" s="1060"/>
      <c r="Y106" s="1060"/>
      <c r="Z106" s="1060"/>
      <c r="AA106" s="1544"/>
      <c r="AB106" s="491"/>
      <c r="AC106" s="491"/>
      <c r="AD106" s="491"/>
      <c r="AE106" s="491"/>
    </row>
    <row r="107" spans="1:31" s="2013" customFormat="1" ht="11.25" customHeight="1">
      <c r="A107" s="895"/>
      <c r="B107" s="1548"/>
      <c r="C107" s="1548"/>
      <c r="D107" s="276"/>
      <c r="K107" s="1060"/>
      <c r="L107" s="1548"/>
      <c r="M107" s="1548"/>
      <c r="N107" s="1060"/>
      <c r="O107" s="1060"/>
      <c r="P107" s="1060"/>
      <c r="Q107" s="1060"/>
      <c r="R107" s="1548"/>
      <c r="S107" s="1060"/>
      <c r="T107" s="1060"/>
      <c r="U107" s="469"/>
      <c r="V107" s="1060"/>
      <c r="W107" s="1060"/>
      <c r="X107" s="1060"/>
      <c r="Y107" s="1060"/>
      <c r="Z107" s="1060"/>
      <c r="AA107" s="1544"/>
      <c r="AB107" s="491"/>
      <c r="AC107" s="491"/>
      <c r="AD107" s="491"/>
      <c r="AE107" s="491"/>
    </row>
    <row r="108" spans="1:31" s="2013" customFormat="1" ht="11.25" customHeight="1">
      <c r="A108" s="895"/>
      <c r="B108" s="1548"/>
      <c r="C108" s="1548"/>
      <c r="D108" s="276"/>
      <c r="K108" s="1060"/>
      <c r="L108" s="1548"/>
      <c r="M108" s="1548"/>
      <c r="N108" s="1060"/>
      <c r="O108" s="1060"/>
      <c r="P108" s="1060"/>
      <c r="Q108" s="1060"/>
      <c r="R108" s="1548"/>
      <c r="S108" s="1060"/>
      <c r="T108" s="1060"/>
      <c r="U108" s="469"/>
      <c r="V108" s="1060"/>
      <c r="W108" s="1060"/>
      <c r="X108" s="1060"/>
      <c r="Y108" s="1060"/>
      <c r="Z108" s="1060"/>
      <c r="AA108" s="1544"/>
      <c r="AB108" s="491"/>
      <c r="AC108" s="491"/>
      <c r="AD108" s="491"/>
      <c r="AE108" s="491"/>
    </row>
    <row r="109" spans="1:31" s="2013" customFormat="1" ht="11.25" customHeight="1">
      <c r="A109" s="895"/>
      <c r="B109" s="1548"/>
      <c r="C109" s="1548"/>
      <c r="D109" s="276"/>
      <c r="K109" s="1060"/>
      <c r="L109" s="1548"/>
      <c r="M109" s="1548"/>
      <c r="N109" s="1060"/>
      <c r="O109" s="1060"/>
      <c r="P109" s="1060"/>
      <c r="Q109" s="1060"/>
      <c r="R109" s="1548"/>
      <c r="S109" s="1060"/>
      <c r="T109" s="1060"/>
      <c r="U109" s="469"/>
      <c r="V109" s="1060"/>
      <c r="W109" s="1060"/>
      <c r="X109" s="1060"/>
      <c r="Y109" s="1060"/>
      <c r="Z109" s="1060"/>
      <c r="AA109" s="1544"/>
      <c r="AB109" s="491"/>
      <c r="AC109" s="491"/>
      <c r="AD109" s="491"/>
      <c r="AE109" s="491"/>
    </row>
    <row r="110" spans="1:31" s="2013" customFormat="1" ht="11.25" customHeight="1">
      <c r="A110" s="895"/>
      <c r="B110" s="1548"/>
      <c r="C110" s="1548"/>
      <c r="D110" s="276"/>
      <c r="K110" s="1060"/>
      <c r="L110" s="1548"/>
      <c r="M110" s="1548"/>
      <c r="N110" s="1060"/>
      <c r="O110" s="1060"/>
      <c r="P110" s="1060"/>
      <c r="Q110" s="1060"/>
      <c r="R110" s="1548"/>
      <c r="S110" s="1060"/>
      <c r="T110" s="1060"/>
      <c r="U110" s="469"/>
      <c r="V110" s="1060"/>
      <c r="W110" s="1060"/>
      <c r="X110" s="1060"/>
      <c r="Y110" s="1060"/>
      <c r="Z110" s="1060"/>
      <c r="AA110" s="1544"/>
      <c r="AB110" s="491"/>
      <c r="AC110" s="491"/>
      <c r="AD110" s="491"/>
      <c r="AE110" s="491"/>
    </row>
    <row r="111" spans="1:31" s="2013" customFormat="1" ht="11.25" customHeight="1">
      <c r="A111" s="895"/>
      <c r="B111" s="1548"/>
      <c r="C111" s="1548"/>
      <c r="D111" s="276"/>
      <c r="K111" s="1060"/>
      <c r="L111" s="1548"/>
      <c r="M111" s="1548"/>
      <c r="N111" s="1060"/>
      <c r="O111" s="1060"/>
      <c r="P111" s="1060"/>
      <c r="Q111" s="1060"/>
      <c r="R111" s="1548"/>
      <c r="S111" s="1060"/>
      <c r="T111" s="1060"/>
      <c r="U111" s="469"/>
      <c r="V111" s="1060"/>
      <c r="W111" s="1060"/>
      <c r="X111" s="1060"/>
      <c r="Y111" s="1060"/>
      <c r="Z111" s="1060"/>
      <c r="AA111" s="1544"/>
      <c r="AB111" s="491"/>
      <c r="AC111" s="491"/>
      <c r="AD111" s="491"/>
      <c r="AE111" s="491"/>
    </row>
    <row r="112" spans="1:31" s="2013" customFormat="1" ht="11.25" customHeight="1">
      <c r="A112" s="895"/>
      <c r="B112" s="1548"/>
      <c r="C112" s="1548"/>
      <c r="D112" s="276"/>
      <c r="K112" s="1060"/>
      <c r="L112" s="1548"/>
      <c r="M112" s="1548"/>
      <c r="N112" s="1060"/>
      <c r="O112" s="1060"/>
      <c r="P112" s="1060"/>
      <c r="Q112" s="1060"/>
      <c r="R112" s="1548"/>
      <c r="S112" s="1060"/>
      <c r="T112" s="1060"/>
      <c r="U112" s="469"/>
      <c r="V112" s="1060"/>
      <c r="W112" s="1060"/>
      <c r="X112" s="1060"/>
      <c r="Y112" s="1060"/>
      <c r="Z112" s="1060"/>
      <c r="AA112" s="1544"/>
      <c r="AB112" s="491"/>
      <c r="AC112" s="491"/>
      <c r="AD112" s="491"/>
      <c r="AE112" s="491"/>
    </row>
    <row r="113" spans="1:31" s="2013" customFormat="1" ht="11.25" customHeight="1">
      <c r="A113" s="895"/>
      <c r="B113" s="1548"/>
      <c r="C113" s="1548"/>
      <c r="D113" s="276"/>
      <c r="K113" s="1060"/>
      <c r="L113" s="1548"/>
      <c r="M113" s="1548"/>
      <c r="N113" s="1060"/>
      <c r="O113" s="1060"/>
      <c r="P113" s="1060"/>
      <c r="Q113" s="1060"/>
      <c r="R113" s="1548"/>
      <c r="S113" s="1060"/>
      <c r="T113" s="1060"/>
      <c r="U113" s="469"/>
      <c r="V113" s="1060"/>
      <c r="W113" s="1060"/>
      <c r="X113" s="1060"/>
      <c r="Y113" s="1060"/>
      <c r="Z113" s="1060"/>
      <c r="AA113" s="1544"/>
      <c r="AB113" s="491"/>
      <c r="AC113" s="491"/>
      <c r="AD113" s="491"/>
      <c r="AE113" s="491"/>
    </row>
    <row r="114" spans="1:31" s="2013" customFormat="1" ht="11.25" customHeight="1">
      <c r="A114" s="895"/>
      <c r="B114" s="1548"/>
      <c r="C114" s="1548"/>
      <c r="D114" s="276"/>
      <c r="K114" s="1060"/>
      <c r="L114" s="1548"/>
      <c r="M114" s="1548"/>
      <c r="N114" s="1060"/>
      <c r="O114" s="1060"/>
      <c r="P114" s="1060"/>
      <c r="Q114" s="1060"/>
      <c r="R114" s="1548"/>
      <c r="S114" s="1060"/>
      <c r="T114" s="1060"/>
      <c r="U114" s="469"/>
      <c r="V114" s="1060"/>
      <c r="W114" s="1060"/>
      <c r="X114" s="1060"/>
      <c r="Y114" s="1060"/>
      <c r="Z114" s="1060"/>
      <c r="AA114" s="1544"/>
      <c r="AB114" s="491"/>
      <c r="AC114" s="491"/>
      <c r="AD114" s="491"/>
      <c r="AE114" s="491"/>
    </row>
    <row r="115" spans="1:31" s="2013" customFormat="1" ht="11.25" customHeight="1">
      <c r="A115" s="895"/>
      <c r="B115" s="1548"/>
      <c r="C115" s="1548"/>
      <c r="D115" s="276"/>
      <c r="K115" s="1060"/>
      <c r="L115" s="1548"/>
      <c r="M115" s="1548"/>
      <c r="N115" s="1060"/>
      <c r="O115" s="1060"/>
      <c r="P115" s="1060"/>
      <c r="Q115" s="1060"/>
      <c r="R115" s="1548"/>
      <c r="S115" s="1060"/>
      <c r="T115" s="1060"/>
      <c r="U115" s="469"/>
      <c r="V115" s="1060"/>
      <c r="W115" s="1060"/>
      <c r="X115" s="1060"/>
      <c r="Y115" s="1060"/>
      <c r="Z115" s="1060"/>
      <c r="AA115" s="1544"/>
      <c r="AB115" s="491"/>
      <c r="AC115" s="491"/>
      <c r="AD115" s="491"/>
      <c r="AE115" s="491"/>
    </row>
    <row r="116" spans="1:31" s="2013" customFormat="1" ht="11.25" customHeight="1">
      <c r="A116" s="895"/>
      <c r="B116" s="1548"/>
      <c r="C116" s="1548"/>
      <c r="D116" s="276"/>
      <c r="K116" s="1060"/>
      <c r="L116" s="1548"/>
      <c r="M116" s="1548"/>
      <c r="N116" s="1060"/>
      <c r="O116" s="1060"/>
      <c r="P116" s="1060"/>
      <c r="Q116" s="1060"/>
      <c r="R116" s="1548"/>
      <c r="S116" s="1060"/>
      <c r="T116" s="1060"/>
      <c r="U116" s="469"/>
      <c r="V116" s="1060"/>
      <c r="W116" s="1060"/>
      <c r="X116" s="1060"/>
      <c r="Y116" s="1060"/>
      <c r="Z116" s="1060"/>
      <c r="AA116" s="1544"/>
      <c r="AB116" s="491"/>
      <c r="AC116" s="491"/>
      <c r="AD116" s="491"/>
      <c r="AE116" s="491"/>
    </row>
    <row r="117" spans="1:31" s="2013" customFormat="1" ht="11.25" customHeight="1">
      <c r="A117" s="895"/>
      <c r="B117" s="1548"/>
      <c r="C117" s="1548"/>
      <c r="D117" s="276"/>
      <c r="K117" s="1060"/>
      <c r="L117" s="1548"/>
      <c r="M117" s="1548"/>
      <c r="N117" s="1060"/>
      <c r="O117" s="1060"/>
      <c r="P117" s="1060"/>
      <c r="Q117" s="1060"/>
      <c r="R117" s="1548"/>
      <c r="S117" s="1060"/>
      <c r="T117" s="1060"/>
      <c r="U117" s="469"/>
      <c r="V117" s="1060"/>
      <c r="W117" s="1060"/>
      <c r="X117" s="1060"/>
      <c r="Y117" s="1060"/>
      <c r="Z117" s="1060"/>
      <c r="AA117" s="1544"/>
      <c r="AB117" s="491"/>
      <c r="AC117" s="491"/>
      <c r="AD117" s="491"/>
      <c r="AE117" s="491"/>
    </row>
    <row r="118" spans="1:31" s="2013" customFormat="1" ht="11.25" customHeight="1">
      <c r="A118" s="895"/>
      <c r="B118" s="1548"/>
      <c r="C118" s="1548"/>
      <c r="D118" s="276"/>
      <c r="K118" s="1060"/>
      <c r="L118" s="1548"/>
      <c r="M118" s="1548"/>
      <c r="N118" s="1060"/>
      <c r="O118" s="1060"/>
      <c r="P118" s="1060"/>
      <c r="Q118" s="1060"/>
      <c r="R118" s="1548"/>
      <c r="S118" s="1060"/>
      <c r="T118" s="1060"/>
      <c r="U118" s="469"/>
      <c r="V118" s="1060"/>
      <c r="W118" s="1060"/>
      <c r="X118" s="1060"/>
      <c r="Y118" s="1060"/>
      <c r="Z118" s="1060"/>
      <c r="AA118" s="1544"/>
      <c r="AB118" s="491"/>
      <c r="AC118" s="491"/>
      <c r="AD118" s="491"/>
      <c r="AE118" s="491"/>
    </row>
    <row r="119" spans="1:31" s="2013" customFormat="1" ht="11.25" customHeight="1">
      <c r="A119" s="895"/>
      <c r="B119" s="1548"/>
      <c r="C119" s="1548"/>
      <c r="D119" s="276"/>
      <c r="K119" s="1060"/>
      <c r="L119" s="1548"/>
      <c r="M119" s="1548"/>
      <c r="N119" s="1060"/>
      <c r="O119" s="1060"/>
      <c r="P119" s="1060"/>
      <c r="Q119" s="1060"/>
      <c r="R119" s="1548"/>
      <c r="S119" s="1060"/>
      <c r="T119" s="1060"/>
      <c r="U119" s="469"/>
      <c r="V119" s="1060"/>
      <c r="W119" s="1060"/>
      <c r="X119" s="1060"/>
      <c r="Y119" s="1060"/>
      <c r="Z119" s="1060"/>
      <c r="AA119" s="1544"/>
      <c r="AB119" s="491"/>
      <c r="AC119" s="491"/>
      <c r="AD119" s="491"/>
      <c r="AE119" s="491"/>
    </row>
    <row r="120" spans="1:31" s="2013" customFormat="1" ht="11.25" customHeight="1">
      <c r="A120" s="895"/>
      <c r="B120" s="1548"/>
      <c r="C120" s="1548"/>
      <c r="D120" s="276"/>
      <c r="K120" s="1060"/>
      <c r="L120" s="1548"/>
      <c r="M120" s="1548"/>
      <c r="N120" s="1060"/>
      <c r="O120" s="1060"/>
      <c r="P120" s="1060"/>
      <c r="Q120" s="1060"/>
      <c r="R120" s="1548"/>
      <c r="S120" s="1060"/>
      <c r="T120" s="1060"/>
      <c r="U120" s="469"/>
      <c r="V120" s="1060"/>
      <c r="W120" s="1060"/>
      <c r="X120" s="1060"/>
      <c r="Y120" s="1060"/>
      <c r="Z120" s="1060"/>
      <c r="AA120" s="1544"/>
      <c r="AB120" s="491"/>
      <c r="AC120" s="491"/>
      <c r="AD120" s="491"/>
      <c r="AE120" s="491"/>
    </row>
    <row r="121" spans="1:31" s="2013" customFormat="1" ht="11.25" customHeight="1">
      <c r="A121" s="895"/>
      <c r="B121" s="1548"/>
      <c r="C121" s="1548"/>
      <c r="D121" s="276"/>
      <c r="K121" s="1060"/>
      <c r="L121" s="1548"/>
      <c r="M121" s="1548"/>
      <c r="N121" s="1060"/>
      <c r="O121" s="1060"/>
      <c r="P121" s="1060"/>
      <c r="Q121" s="1060"/>
      <c r="R121" s="1548"/>
      <c r="S121" s="1060"/>
      <c r="T121" s="1060"/>
      <c r="U121" s="469"/>
      <c r="V121" s="1060"/>
      <c r="W121" s="1060"/>
      <c r="X121" s="1060"/>
      <c r="Y121" s="1060"/>
      <c r="Z121" s="1060"/>
      <c r="AA121" s="1544"/>
      <c r="AB121" s="491"/>
      <c r="AC121" s="491"/>
      <c r="AD121" s="491"/>
      <c r="AE121" s="491"/>
    </row>
    <row r="122" spans="1:31" s="2013" customFormat="1" ht="11.25" customHeight="1">
      <c r="A122" s="895"/>
      <c r="B122" s="1548"/>
      <c r="C122" s="1548"/>
      <c r="D122" s="276"/>
      <c r="K122" s="1060"/>
      <c r="L122" s="1548"/>
      <c r="M122" s="1548"/>
      <c r="N122" s="1060"/>
      <c r="O122" s="1060"/>
      <c r="P122" s="1060"/>
      <c r="Q122" s="1060"/>
      <c r="R122" s="1548"/>
      <c r="S122" s="1060"/>
      <c r="T122" s="1060"/>
      <c r="U122" s="469"/>
      <c r="V122" s="1060"/>
      <c r="W122" s="1060"/>
      <c r="X122" s="1060"/>
      <c r="Y122" s="1060"/>
      <c r="Z122" s="1060"/>
      <c r="AA122" s="1544"/>
      <c r="AB122" s="491"/>
      <c r="AC122" s="491"/>
      <c r="AD122" s="491"/>
      <c r="AE122" s="491"/>
    </row>
    <row r="123" spans="1:31" s="2013" customFormat="1" ht="11.25" customHeight="1">
      <c r="A123" s="895"/>
      <c r="B123" s="1548"/>
      <c r="C123" s="1548"/>
      <c r="D123" s="276"/>
      <c r="K123" s="1060"/>
      <c r="L123" s="1548"/>
      <c r="M123" s="1548"/>
      <c r="N123" s="1060"/>
      <c r="O123" s="1060"/>
      <c r="P123" s="1060"/>
      <c r="Q123" s="1060"/>
      <c r="R123" s="1548"/>
      <c r="S123" s="1060"/>
      <c r="T123" s="1060"/>
      <c r="U123" s="469"/>
      <c r="V123" s="1060"/>
      <c r="W123" s="1060"/>
      <c r="X123" s="1060"/>
      <c r="Y123" s="1060"/>
      <c r="Z123" s="1060"/>
      <c r="AA123" s="1544"/>
      <c r="AB123" s="491"/>
      <c r="AC123" s="491"/>
      <c r="AD123" s="491"/>
      <c r="AE123" s="491"/>
    </row>
    <row r="124" spans="1:31" s="2013" customFormat="1" ht="11.25" customHeight="1">
      <c r="A124" s="895"/>
      <c r="B124" s="1548"/>
      <c r="C124" s="1548"/>
      <c r="D124" s="276"/>
      <c r="K124" s="1060"/>
      <c r="L124" s="1548"/>
      <c r="M124" s="1548"/>
      <c r="N124" s="1060"/>
      <c r="O124" s="1060"/>
      <c r="P124" s="1060"/>
      <c r="Q124" s="1060"/>
      <c r="R124" s="1548"/>
      <c r="S124" s="1060"/>
      <c r="T124" s="1060"/>
      <c r="U124" s="469"/>
      <c r="V124" s="1060"/>
      <c r="W124" s="1060"/>
      <c r="X124" s="1060"/>
      <c r="Y124" s="1060"/>
      <c r="Z124" s="1060"/>
      <c r="AA124" s="1544"/>
      <c r="AB124" s="491"/>
      <c r="AC124" s="491"/>
      <c r="AD124" s="491"/>
      <c r="AE124" s="491"/>
    </row>
    <row r="125" spans="1:31" s="2013" customFormat="1" ht="11.25" customHeight="1">
      <c r="A125" s="895"/>
      <c r="B125" s="1548"/>
      <c r="C125" s="1548"/>
      <c r="D125" s="276"/>
      <c r="K125" s="1060"/>
      <c r="L125" s="1548"/>
      <c r="M125" s="1548"/>
      <c r="N125" s="1060"/>
      <c r="O125" s="1060"/>
      <c r="P125" s="1060"/>
      <c r="Q125" s="1060"/>
      <c r="R125" s="1548"/>
      <c r="S125" s="1060"/>
      <c r="T125" s="1060"/>
      <c r="U125" s="469"/>
      <c r="V125" s="1060"/>
      <c r="W125" s="1060"/>
      <c r="X125" s="1060"/>
      <c r="Y125" s="1060"/>
      <c r="Z125" s="1060"/>
      <c r="AA125" s="1544"/>
      <c r="AB125" s="491"/>
      <c r="AC125" s="491"/>
      <c r="AD125" s="491"/>
      <c r="AE125" s="491"/>
    </row>
    <row r="126" spans="1:31" s="2013" customFormat="1" ht="11.25" customHeight="1">
      <c r="A126" s="895"/>
      <c r="B126" s="1548"/>
      <c r="C126" s="1548"/>
      <c r="D126" s="276"/>
      <c r="K126" s="1060"/>
      <c r="L126" s="1548"/>
      <c r="M126" s="1548"/>
      <c r="N126" s="1060"/>
      <c r="O126" s="1060"/>
      <c r="P126" s="1060"/>
      <c r="Q126" s="1060"/>
      <c r="R126" s="1548"/>
      <c r="S126" s="1060"/>
      <c r="T126" s="1060"/>
      <c r="U126" s="469"/>
      <c r="V126" s="1060"/>
      <c r="W126" s="1060"/>
      <c r="X126" s="1060"/>
      <c r="Y126" s="1060"/>
      <c r="Z126" s="1060"/>
      <c r="AA126" s="1544"/>
      <c r="AB126" s="491"/>
      <c r="AC126" s="491"/>
      <c r="AD126" s="491"/>
      <c r="AE126" s="491"/>
    </row>
    <row r="127" spans="1:31" s="2013" customFormat="1" ht="11.25" customHeight="1">
      <c r="A127" s="895"/>
      <c r="B127" s="1548"/>
      <c r="C127" s="1548"/>
      <c r="D127" s="276"/>
      <c r="K127" s="1060"/>
      <c r="L127" s="1548"/>
      <c r="M127" s="1548"/>
      <c r="N127" s="1060"/>
      <c r="O127" s="1060"/>
      <c r="P127" s="1060"/>
      <c r="Q127" s="1060"/>
      <c r="R127" s="1548"/>
      <c r="S127" s="1060"/>
      <c r="T127" s="1060"/>
      <c r="U127" s="469"/>
      <c r="V127" s="1060"/>
      <c r="W127" s="1060"/>
      <c r="X127" s="1060"/>
      <c r="Y127" s="1060"/>
      <c r="Z127" s="1060"/>
      <c r="AA127" s="1544"/>
      <c r="AB127" s="491"/>
      <c r="AC127" s="491"/>
      <c r="AD127" s="491"/>
      <c r="AE127" s="491"/>
    </row>
    <row r="128" spans="1:31" s="2013" customFormat="1" ht="11.25" customHeight="1">
      <c r="A128" s="895"/>
      <c r="B128" s="1548"/>
      <c r="C128" s="1548"/>
      <c r="D128" s="276"/>
      <c r="K128" s="1060"/>
      <c r="L128" s="1548"/>
      <c r="M128" s="1548"/>
      <c r="N128" s="1060"/>
      <c r="O128" s="1060"/>
      <c r="P128" s="1060"/>
      <c r="Q128" s="1060"/>
      <c r="R128" s="1548"/>
      <c r="S128" s="1060"/>
      <c r="T128" s="1060"/>
      <c r="U128" s="469"/>
      <c r="V128" s="1060"/>
      <c r="W128" s="1060"/>
      <c r="X128" s="1060"/>
      <c r="Y128" s="1060"/>
      <c r="Z128" s="1060"/>
      <c r="AA128" s="1544"/>
      <c r="AB128" s="491"/>
      <c r="AC128" s="491"/>
      <c r="AD128" s="491"/>
      <c r="AE128" s="491"/>
    </row>
    <row r="129" spans="1:31" s="2013" customFormat="1" ht="11.25" customHeight="1">
      <c r="A129" s="895"/>
      <c r="B129" s="1548"/>
      <c r="C129" s="1548"/>
      <c r="D129" s="276"/>
      <c r="K129" s="1060"/>
      <c r="L129" s="1548"/>
      <c r="M129" s="1548"/>
      <c r="N129" s="1060"/>
      <c r="O129" s="1060"/>
      <c r="P129" s="1060"/>
      <c r="Q129" s="1060"/>
      <c r="R129" s="1548"/>
      <c r="S129" s="1060"/>
      <c r="T129" s="1060"/>
      <c r="U129" s="469"/>
      <c r="V129" s="1060"/>
      <c r="W129" s="1060"/>
      <c r="X129" s="1060"/>
      <c r="Y129" s="1060"/>
      <c r="Z129" s="1060"/>
      <c r="AA129" s="1544"/>
      <c r="AB129" s="491"/>
      <c r="AC129" s="491"/>
      <c r="AD129" s="491"/>
      <c r="AE129" s="491"/>
    </row>
    <row r="130" spans="1:31" s="2013" customFormat="1" ht="11.25" customHeight="1">
      <c r="A130" s="895"/>
      <c r="B130" s="1548"/>
      <c r="C130" s="1548"/>
      <c r="D130" s="276"/>
      <c r="K130" s="1060"/>
      <c r="L130" s="1548"/>
      <c r="M130" s="1548"/>
      <c r="N130" s="1060"/>
      <c r="O130" s="1060"/>
      <c r="P130" s="1060"/>
      <c r="Q130" s="1060"/>
      <c r="R130" s="1548"/>
      <c r="S130" s="1060"/>
      <c r="T130" s="1060"/>
      <c r="U130" s="469"/>
      <c r="V130" s="1060"/>
      <c r="W130" s="1060"/>
      <c r="X130" s="1060"/>
      <c r="Y130" s="1060"/>
      <c r="Z130" s="1060"/>
      <c r="AA130" s="1544"/>
      <c r="AB130" s="491"/>
      <c r="AC130" s="491"/>
      <c r="AD130" s="491"/>
      <c r="AE130" s="491"/>
    </row>
    <row r="131" spans="1:31" s="2013" customFormat="1" ht="11.25" customHeight="1">
      <c r="A131" s="895"/>
      <c r="B131" s="1548"/>
      <c r="C131" s="1548"/>
      <c r="D131" s="276"/>
      <c r="K131" s="1060"/>
      <c r="L131" s="1548"/>
      <c r="M131" s="1548"/>
      <c r="N131" s="1060"/>
      <c r="O131" s="1060"/>
      <c r="P131" s="1060"/>
      <c r="Q131" s="1060"/>
      <c r="R131" s="1548"/>
      <c r="S131" s="1060"/>
      <c r="T131" s="1060"/>
      <c r="U131" s="469"/>
      <c r="V131" s="1060"/>
      <c r="W131" s="1060"/>
      <c r="X131" s="1060"/>
      <c r="Y131" s="1060"/>
      <c r="Z131" s="1060"/>
      <c r="AA131" s="1544"/>
      <c r="AB131" s="491"/>
      <c r="AC131" s="491"/>
      <c r="AD131" s="491"/>
      <c r="AE131" s="491"/>
    </row>
    <row r="132" spans="1:31" s="2013" customFormat="1" ht="11.25" customHeight="1">
      <c r="A132" s="895"/>
      <c r="B132" s="1548"/>
      <c r="C132" s="1548"/>
      <c r="D132" s="276"/>
      <c r="K132" s="1060"/>
      <c r="L132" s="1548"/>
      <c r="M132" s="1548"/>
      <c r="N132" s="1060"/>
      <c r="O132" s="1060"/>
      <c r="P132" s="1060"/>
      <c r="Q132" s="1060"/>
      <c r="R132" s="1548"/>
      <c r="S132" s="1060"/>
      <c r="T132" s="1060"/>
      <c r="U132" s="469"/>
      <c r="V132" s="1060"/>
      <c r="W132" s="1060"/>
      <c r="X132" s="1060"/>
      <c r="Y132" s="1060"/>
      <c r="Z132" s="1060"/>
      <c r="AA132" s="1544"/>
      <c r="AB132" s="491"/>
      <c r="AC132" s="491"/>
      <c r="AD132" s="491"/>
      <c r="AE132" s="491"/>
    </row>
    <row r="133" spans="1:31" s="2013" customFormat="1" ht="11.25" customHeight="1">
      <c r="A133" s="895"/>
      <c r="B133" s="1548"/>
      <c r="C133" s="1548"/>
      <c r="D133" s="276"/>
      <c r="K133" s="1060"/>
      <c r="L133" s="1548"/>
      <c r="M133" s="1548"/>
      <c r="N133" s="1060"/>
      <c r="O133" s="1060"/>
      <c r="P133" s="1060"/>
      <c r="Q133" s="1060"/>
      <c r="R133" s="1548"/>
      <c r="S133" s="1060"/>
      <c r="T133" s="1060"/>
      <c r="U133" s="469"/>
      <c r="V133" s="1060"/>
      <c r="W133" s="1060"/>
      <c r="X133" s="1060"/>
      <c r="Y133" s="1060"/>
      <c r="Z133" s="1060"/>
      <c r="AA133" s="1544"/>
      <c r="AB133" s="491"/>
      <c r="AC133" s="491"/>
      <c r="AD133" s="491"/>
      <c r="AE133" s="491"/>
    </row>
    <row r="134" spans="1:31" s="2013" customFormat="1" ht="11.25" customHeight="1">
      <c r="A134" s="895"/>
      <c r="B134" s="1548"/>
      <c r="C134" s="1548"/>
      <c r="D134" s="276"/>
      <c r="K134" s="1060"/>
      <c r="L134" s="1548"/>
      <c r="M134" s="1548"/>
      <c r="N134" s="1060"/>
      <c r="O134" s="1060"/>
      <c r="P134" s="1060"/>
      <c r="Q134" s="1060"/>
      <c r="R134" s="1548"/>
      <c r="S134" s="1060"/>
      <c r="T134" s="1060"/>
      <c r="U134" s="469"/>
      <c r="V134" s="1060"/>
      <c r="W134" s="1060"/>
      <c r="X134" s="1060"/>
      <c r="Y134" s="1060"/>
      <c r="Z134" s="1060"/>
      <c r="AA134" s="1544"/>
      <c r="AB134" s="491"/>
      <c r="AC134" s="491"/>
      <c r="AD134" s="491"/>
      <c r="AE134" s="491"/>
    </row>
    <row r="135" spans="1:31" s="2013" customFormat="1" ht="11.25" customHeight="1">
      <c r="A135" s="895"/>
      <c r="B135" s="1548"/>
      <c r="C135" s="1548"/>
      <c r="D135" s="276"/>
      <c r="K135" s="1060"/>
      <c r="L135" s="1548"/>
      <c r="M135" s="1548"/>
      <c r="N135" s="1060"/>
      <c r="O135" s="1060"/>
      <c r="P135" s="1060"/>
      <c r="Q135" s="1060"/>
      <c r="R135" s="1548"/>
      <c r="S135" s="1060"/>
      <c r="T135" s="1060"/>
      <c r="U135" s="469"/>
      <c r="V135" s="1060"/>
      <c r="W135" s="1060"/>
      <c r="X135" s="1060"/>
      <c r="Y135" s="1060"/>
      <c r="Z135" s="1060"/>
      <c r="AA135" s="1544"/>
      <c r="AB135" s="491"/>
      <c r="AC135" s="491"/>
      <c r="AD135" s="491"/>
      <c r="AE135" s="491"/>
    </row>
    <row r="136" spans="1:31" s="2013" customFormat="1" ht="11.25" customHeight="1">
      <c r="A136" s="895"/>
      <c r="B136" s="1548"/>
      <c r="C136" s="1548"/>
      <c r="D136" s="276"/>
      <c r="K136" s="1060"/>
      <c r="L136" s="1548"/>
      <c r="M136" s="1548"/>
      <c r="N136" s="1060"/>
      <c r="O136" s="1060"/>
      <c r="P136" s="1060"/>
      <c r="Q136" s="1060"/>
      <c r="R136" s="1548"/>
      <c r="S136" s="1060"/>
      <c r="T136" s="1060"/>
      <c r="U136" s="469"/>
      <c r="V136" s="1060"/>
      <c r="W136" s="1060"/>
      <c r="X136" s="1060"/>
      <c r="Y136" s="1060"/>
      <c r="Z136" s="1060"/>
      <c r="AA136" s="1544"/>
      <c r="AB136" s="491"/>
      <c r="AC136" s="491"/>
      <c r="AD136" s="491"/>
      <c r="AE136" s="491"/>
    </row>
    <row r="137" spans="1:31" s="2013" customFormat="1" ht="11.25" customHeight="1">
      <c r="A137" s="895"/>
      <c r="B137" s="1548"/>
      <c r="C137" s="1548"/>
      <c r="D137" s="276"/>
      <c r="K137" s="1060"/>
      <c r="L137" s="1548"/>
      <c r="M137" s="1548"/>
      <c r="N137" s="1060"/>
      <c r="O137" s="1060"/>
      <c r="P137" s="1060"/>
      <c r="Q137" s="1060"/>
      <c r="R137" s="1548"/>
      <c r="S137" s="1060"/>
      <c r="T137" s="1060"/>
      <c r="U137" s="469"/>
      <c r="V137" s="1060"/>
      <c r="W137" s="1060"/>
      <c r="X137" s="1060"/>
      <c r="Y137" s="1060"/>
      <c r="Z137" s="1060"/>
      <c r="AA137" s="1544"/>
      <c r="AB137" s="491"/>
      <c r="AC137" s="491"/>
      <c r="AD137" s="491"/>
      <c r="AE137" s="491"/>
    </row>
    <row r="138" spans="1:31" s="2013" customFormat="1" ht="11.25" customHeight="1">
      <c r="A138" s="895"/>
      <c r="B138" s="1548"/>
      <c r="C138" s="1548"/>
      <c r="D138" s="276"/>
      <c r="K138" s="1060"/>
      <c r="L138" s="1548"/>
      <c r="M138" s="1548"/>
      <c r="N138" s="1060"/>
      <c r="O138" s="1060"/>
      <c r="P138" s="1060"/>
      <c r="Q138" s="1060"/>
      <c r="R138" s="1548"/>
      <c r="S138" s="1060"/>
      <c r="T138" s="1060"/>
      <c r="U138" s="469"/>
      <c r="V138" s="1060"/>
      <c r="W138" s="1060"/>
      <c r="X138" s="1060"/>
      <c r="Y138" s="1060"/>
      <c r="Z138" s="1060"/>
      <c r="AA138" s="1544"/>
      <c r="AB138" s="491"/>
      <c r="AC138" s="491"/>
      <c r="AD138" s="491"/>
      <c r="AE138" s="491"/>
    </row>
    <row r="139" spans="1:31" s="2013" customFormat="1" ht="11.25" customHeight="1">
      <c r="A139" s="895"/>
      <c r="B139" s="1548"/>
      <c r="C139" s="1548"/>
      <c r="D139" s="276"/>
      <c r="K139" s="1060"/>
      <c r="L139" s="1548"/>
      <c r="M139" s="1548"/>
      <c r="N139" s="1060"/>
      <c r="O139" s="1060"/>
      <c r="P139" s="1060"/>
      <c r="Q139" s="1060"/>
      <c r="R139" s="1548"/>
      <c r="S139" s="1060"/>
      <c r="T139" s="1060"/>
      <c r="U139" s="469"/>
      <c r="V139" s="1060"/>
      <c r="W139" s="1060"/>
      <c r="X139" s="1060"/>
      <c r="Y139" s="1060"/>
      <c r="Z139" s="1060"/>
      <c r="AA139" s="1544"/>
      <c r="AB139" s="491"/>
      <c r="AC139" s="491"/>
      <c r="AD139" s="491"/>
      <c r="AE139" s="491"/>
    </row>
    <row r="140" spans="1:31" s="2013" customFormat="1" ht="11.25" customHeight="1">
      <c r="A140" s="895"/>
      <c r="B140" s="1548"/>
      <c r="C140" s="1548"/>
      <c r="D140" s="276"/>
      <c r="K140" s="1060"/>
      <c r="L140" s="1548"/>
      <c r="M140" s="1548"/>
      <c r="N140" s="1060"/>
      <c r="O140" s="1060"/>
      <c r="P140" s="1060"/>
      <c r="Q140" s="1060"/>
      <c r="R140" s="1548"/>
      <c r="S140" s="1060"/>
      <c r="T140" s="1060"/>
      <c r="U140" s="469"/>
      <c r="V140" s="1060"/>
      <c r="W140" s="1060"/>
      <c r="X140" s="1060"/>
      <c r="Y140" s="1060"/>
      <c r="Z140" s="1060"/>
      <c r="AA140" s="1544"/>
      <c r="AB140" s="491"/>
      <c r="AC140" s="491"/>
      <c r="AD140" s="491"/>
      <c r="AE140" s="491"/>
    </row>
    <row r="141" spans="1:31" s="2013" customFormat="1" ht="11.25" customHeight="1">
      <c r="A141" s="895"/>
      <c r="B141" s="1548"/>
      <c r="C141" s="1548"/>
      <c r="D141" s="276"/>
      <c r="K141" s="1060"/>
      <c r="L141" s="1548"/>
      <c r="M141" s="1548"/>
      <c r="N141" s="1060"/>
      <c r="O141" s="1060"/>
      <c r="P141" s="1060"/>
      <c r="Q141" s="1060"/>
      <c r="R141" s="1548"/>
      <c r="S141" s="1060"/>
      <c r="T141" s="1060"/>
      <c r="U141" s="469"/>
      <c r="V141" s="1060"/>
      <c r="W141" s="1060"/>
      <c r="X141" s="1060"/>
      <c r="Y141" s="1060"/>
      <c r="Z141" s="1060"/>
      <c r="AA141" s="1544"/>
      <c r="AB141" s="491"/>
      <c r="AC141" s="491"/>
      <c r="AD141" s="491"/>
      <c r="AE141" s="491"/>
    </row>
    <row r="142" spans="1:31" s="2013" customFormat="1" ht="11.25" customHeight="1">
      <c r="A142" s="895"/>
      <c r="B142" s="1548"/>
      <c r="C142" s="1548"/>
      <c r="D142" s="276"/>
      <c r="K142" s="1060"/>
      <c r="L142" s="1548"/>
      <c r="M142" s="1548"/>
      <c r="N142" s="1060"/>
      <c r="O142" s="1060"/>
      <c r="P142" s="1060"/>
      <c r="Q142" s="1060"/>
      <c r="R142" s="1548"/>
      <c r="S142" s="1060"/>
      <c r="T142" s="1060"/>
      <c r="U142" s="469"/>
      <c r="V142" s="1060"/>
      <c r="W142" s="1060"/>
      <c r="X142" s="1060"/>
      <c r="Y142" s="1060"/>
      <c r="Z142" s="1060"/>
      <c r="AA142" s="1544"/>
      <c r="AB142" s="491"/>
      <c r="AC142" s="491"/>
      <c r="AD142" s="491"/>
      <c r="AE142" s="491"/>
    </row>
    <row r="143" spans="1:31" s="2013" customFormat="1" ht="11.25" customHeight="1">
      <c r="A143" s="895"/>
      <c r="B143" s="1548"/>
      <c r="C143" s="1548"/>
      <c r="D143" s="276"/>
      <c r="K143" s="1060"/>
      <c r="L143" s="1548"/>
      <c r="M143" s="1548"/>
      <c r="N143" s="1060"/>
      <c r="O143" s="1060"/>
      <c r="P143" s="1060"/>
      <c r="Q143" s="1060"/>
      <c r="R143" s="1548"/>
      <c r="S143" s="1060"/>
      <c r="T143" s="1060"/>
      <c r="U143" s="469"/>
      <c r="V143" s="1060"/>
      <c r="W143" s="1060"/>
      <c r="X143" s="1060"/>
      <c r="Y143" s="1060"/>
      <c r="Z143" s="1060"/>
      <c r="AA143" s="1544"/>
      <c r="AB143" s="491"/>
      <c r="AC143" s="491"/>
      <c r="AD143" s="491"/>
      <c r="AE143" s="491"/>
    </row>
    <row r="144" spans="1:31" s="2013" customFormat="1" ht="11.25" customHeight="1">
      <c r="A144" s="895"/>
      <c r="B144" s="1548"/>
      <c r="C144" s="1548"/>
      <c r="D144" s="276"/>
      <c r="K144" s="1060"/>
      <c r="L144" s="1548"/>
      <c r="M144" s="1548"/>
      <c r="N144" s="1060"/>
      <c r="O144" s="1060"/>
      <c r="P144" s="1060"/>
      <c r="Q144" s="1060"/>
      <c r="R144" s="1548"/>
      <c r="S144" s="1060"/>
      <c r="T144" s="1060"/>
      <c r="U144" s="469"/>
      <c r="V144" s="1060"/>
      <c r="W144" s="1060"/>
      <c r="X144" s="1060"/>
      <c r="Y144" s="1060"/>
      <c r="Z144" s="1060"/>
      <c r="AA144" s="1544"/>
      <c r="AB144" s="491"/>
      <c r="AC144" s="491"/>
      <c r="AD144" s="491"/>
      <c r="AE144" s="491"/>
    </row>
    <row r="145" spans="1:31" s="2013" customFormat="1" ht="11.25" customHeight="1">
      <c r="A145" s="895"/>
      <c r="B145" s="1548"/>
      <c r="C145" s="1548"/>
      <c r="D145" s="276"/>
      <c r="K145" s="1060"/>
      <c r="L145" s="1548"/>
      <c r="M145" s="1548"/>
      <c r="N145" s="1060"/>
      <c r="O145" s="1060"/>
      <c r="P145" s="1060"/>
      <c r="Q145" s="1060"/>
      <c r="R145" s="1548"/>
      <c r="S145" s="1060"/>
      <c r="T145" s="1060"/>
      <c r="U145" s="469"/>
      <c r="V145" s="1060"/>
      <c r="W145" s="1060"/>
      <c r="X145" s="1060"/>
      <c r="Y145" s="1060"/>
      <c r="Z145" s="1060"/>
      <c r="AA145" s="1544"/>
      <c r="AB145" s="491"/>
      <c r="AC145" s="491"/>
      <c r="AD145" s="491"/>
      <c r="AE145" s="491"/>
    </row>
    <row r="146" spans="1:31" s="2013" customFormat="1" ht="11.25" customHeight="1">
      <c r="A146" s="895"/>
      <c r="B146" s="1548"/>
      <c r="C146" s="1548"/>
      <c r="D146" s="276"/>
      <c r="K146" s="1060"/>
      <c r="L146" s="1548"/>
      <c r="M146" s="1548"/>
      <c r="N146" s="1060"/>
      <c r="O146" s="1060"/>
      <c r="P146" s="1060"/>
      <c r="Q146" s="1060"/>
      <c r="R146" s="1548"/>
      <c r="S146" s="1060"/>
      <c r="T146" s="1060"/>
      <c r="U146" s="469"/>
      <c r="V146" s="1060"/>
      <c r="W146" s="1060"/>
      <c r="X146" s="1060"/>
      <c r="Y146" s="1060"/>
      <c r="Z146" s="1060"/>
      <c r="AA146" s="1544"/>
      <c r="AB146" s="491"/>
      <c r="AC146" s="491"/>
      <c r="AD146" s="491"/>
      <c r="AE146" s="491"/>
    </row>
    <row r="147" spans="1:31" s="2013" customFormat="1" ht="11.25" customHeight="1">
      <c r="A147" s="895"/>
      <c r="B147" s="1548"/>
      <c r="C147" s="1548"/>
      <c r="D147" s="276"/>
      <c r="K147" s="1060"/>
      <c r="L147" s="1548"/>
      <c r="M147" s="1548"/>
      <c r="N147" s="1060"/>
      <c r="O147" s="1060"/>
      <c r="P147" s="1060"/>
      <c r="Q147" s="1060"/>
      <c r="R147" s="1548"/>
      <c r="S147" s="1060"/>
      <c r="T147" s="1060"/>
      <c r="U147" s="469"/>
      <c r="V147" s="1060"/>
      <c r="W147" s="1060"/>
      <c r="X147" s="1060"/>
      <c r="Y147" s="1060"/>
      <c r="Z147" s="1060"/>
      <c r="AA147" s="1544"/>
      <c r="AB147" s="491"/>
      <c r="AC147" s="491"/>
      <c r="AD147" s="491"/>
      <c r="AE147" s="491"/>
    </row>
    <row r="148" spans="1:31" s="2013" customFormat="1" ht="11.25" customHeight="1">
      <c r="A148" s="895"/>
      <c r="B148" s="1548"/>
      <c r="C148" s="1548"/>
      <c r="D148" s="276"/>
      <c r="K148" s="1060"/>
      <c r="L148" s="1548"/>
      <c r="M148" s="1548"/>
      <c r="N148" s="1060"/>
      <c r="O148" s="1060"/>
      <c r="P148" s="1060"/>
      <c r="Q148" s="1060"/>
      <c r="R148" s="1548"/>
      <c r="S148" s="1060"/>
      <c r="T148" s="1060"/>
      <c r="U148" s="469"/>
      <c r="V148" s="1060"/>
      <c r="W148" s="1060"/>
      <c r="X148" s="1060"/>
      <c r="Y148" s="1060"/>
      <c r="Z148" s="1060"/>
      <c r="AA148" s="1544"/>
      <c r="AB148" s="491"/>
      <c r="AC148" s="491"/>
      <c r="AD148" s="491"/>
      <c r="AE148" s="491"/>
    </row>
    <row r="149" spans="1:31" s="2013" customFormat="1" ht="11.25" customHeight="1">
      <c r="A149" s="895"/>
      <c r="B149" s="1548"/>
      <c r="C149" s="1548"/>
      <c r="D149" s="276"/>
      <c r="K149" s="1060"/>
      <c r="L149" s="1548"/>
      <c r="M149" s="1548"/>
      <c r="N149" s="1060"/>
      <c r="O149" s="1060"/>
      <c r="P149" s="1060"/>
      <c r="Q149" s="1060"/>
      <c r="R149" s="1548"/>
      <c r="S149" s="1060"/>
      <c r="T149" s="1060"/>
      <c r="U149" s="469"/>
      <c r="V149" s="1060"/>
      <c r="W149" s="1060"/>
      <c r="X149" s="1060"/>
      <c r="Y149" s="1060"/>
      <c r="Z149" s="1060"/>
      <c r="AA149" s="1544"/>
      <c r="AB149" s="491"/>
      <c r="AC149" s="491"/>
      <c r="AD149" s="491"/>
      <c r="AE149" s="491"/>
    </row>
    <row r="150" spans="1:31" s="2013" customFormat="1" ht="11.25" customHeight="1">
      <c r="A150" s="895"/>
      <c r="B150" s="1548"/>
      <c r="C150" s="1548"/>
      <c r="D150" s="276"/>
      <c r="K150" s="1060"/>
      <c r="L150" s="1548"/>
      <c r="M150" s="1548"/>
      <c r="N150" s="1060"/>
      <c r="O150" s="1060"/>
      <c r="P150" s="1060"/>
      <c r="Q150" s="1060"/>
      <c r="R150" s="1548"/>
      <c r="S150" s="1060"/>
      <c r="T150" s="1060"/>
      <c r="U150" s="469"/>
      <c r="V150" s="1060"/>
      <c r="W150" s="1060"/>
      <c r="X150" s="1060"/>
      <c r="Y150" s="1060"/>
      <c r="Z150" s="1060"/>
      <c r="AA150" s="1544"/>
      <c r="AB150" s="491"/>
      <c r="AC150" s="491"/>
      <c r="AD150" s="491"/>
      <c r="AE150" s="491"/>
    </row>
    <row r="151" spans="1:31" s="2013" customFormat="1" ht="11.25" customHeight="1">
      <c r="A151" s="895"/>
      <c r="B151" s="1548"/>
      <c r="C151" s="1548"/>
      <c r="D151" s="276"/>
      <c r="K151" s="1060"/>
      <c r="L151" s="1548"/>
      <c r="M151" s="1548"/>
      <c r="N151" s="1060"/>
      <c r="O151" s="1060"/>
      <c r="P151" s="1060"/>
      <c r="Q151" s="1060"/>
      <c r="R151" s="1548"/>
      <c r="S151" s="1060"/>
      <c r="T151" s="1060"/>
      <c r="U151" s="469"/>
      <c r="V151" s="1060"/>
      <c r="W151" s="1060"/>
      <c r="X151" s="1060"/>
      <c r="Y151" s="1060"/>
      <c r="Z151" s="1060"/>
      <c r="AA151" s="1544"/>
      <c r="AB151" s="491"/>
      <c r="AC151" s="491"/>
      <c r="AD151" s="491"/>
      <c r="AE151" s="491"/>
    </row>
    <row r="152" spans="1:31" s="2013" customFormat="1" ht="11.25" customHeight="1">
      <c r="A152" s="895"/>
      <c r="B152" s="1548"/>
      <c r="C152" s="1548"/>
      <c r="D152" s="276"/>
      <c r="K152" s="1060"/>
      <c r="L152" s="1548"/>
      <c r="M152" s="1548"/>
      <c r="N152" s="1060"/>
      <c r="O152" s="1060"/>
      <c r="P152" s="1060"/>
      <c r="Q152" s="1060"/>
      <c r="R152" s="1548"/>
      <c r="S152" s="1060"/>
      <c r="T152" s="1060"/>
      <c r="U152" s="469"/>
      <c r="V152" s="1060"/>
      <c r="W152" s="1060"/>
      <c r="X152" s="1060"/>
      <c r="Y152" s="1060"/>
      <c r="Z152" s="1060"/>
      <c r="AA152" s="1544"/>
      <c r="AB152" s="491"/>
      <c r="AC152" s="491"/>
      <c r="AD152" s="491"/>
      <c r="AE152" s="491"/>
    </row>
    <row r="153" spans="1:31" s="2013" customFormat="1" ht="11.25" customHeight="1">
      <c r="A153" s="895"/>
      <c r="B153" s="1548"/>
      <c r="C153" s="1548"/>
      <c r="D153" s="276"/>
      <c r="K153" s="1060"/>
      <c r="L153" s="1548"/>
      <c r="M153" s="1548"/>
      <c r="N153" s="1060"/>
      <c r="O153" s="1060"/>
      <c r="P153" s="1060"/>
      <c r="Q153" s="1060"/>
      <c r="R153" s="1548"/>
      <c r="S153" s="1060"/>
      <c r="T153" s="1060"/>
      <c r="U153" s="469"/>
      <c r="V153" s="1060"/>
      <c r="W153" s="1060"/>
      <c r="X153" s="1060"/>
      <c r="Y153" s="1060"/>
      <c r="Z153" s="1060"/>
      <c r="AA153" s="1544"/>
      <c r="AB153" s="491"/>
      <c r="AC153" s="491"/>
      <c r="AD153" s="491"/>
      <c r="AE153" s="491"/>
    </row>
    <row r="154" spans="1:31" s="2013" customFormat="1" ht="11.25" customHeight="1">
      <c r="A154" s="895"/>
      <c r="B154" s="1548"/>
      <c r="C154" s="1548"/>
      <c r="D154" s="276"/>
      <c r="K154" s="1060"/>
      <c r="L154" s="1548"/>
      <c r="M154" s="1548"/>
      <c r="N154" s="1060"/>
      <c r="O154" s="1060"/>
      <c r="P154" s="1060"/>
      <c r="Q154" s="1060"/>
      <c r="R154" s="1548"/>
      <c r="S154" s="1060"/>
      <c r="T154" s="1060"/>
      <c r="U154" s="469"/>
      <c r="V154" s="1060"/>
      <c r="W154" s="1060"/>
      <c r="X154" s="1060"/>
      <c r="Y154" s="1060"/>
      <c r="Z154" s="1060"/>
      <c r="AA154" s="1544"/>
      <c r="AB154" s="491"/>
      <c r="AC154" s="491"/>
      <c r="AD154" s="491"/>
      <c r="AE154" s="491"/>
    </row>
    <row r="155" spans="1:31" s="2013" customFormat="1" ht="11.25" customHeight="1">
      <c r="A155" s="895"/>
      <c r="B155" s="1548"/>
      <c r="C155" s="1548"/>
      <c r="D155" s="276"/>
      <c r="K155" s="1060"/>
      <c r="L155" s="1548"/>
      <c r="M155" s="1548"/>
      <c r="N155" s="1060"/>
      <c r="O155" s="1060"/>
      <c r="P155" s="1060"/>
      <c r="Q155" s="1060"/>
      <c r="R155" s="1548"/>
      <c r="S155" s="1060"/>
      <c r="T155" s="1060"/>
      <c r="U155" s="469"/>
      <c r="V155" s="1060"/>
      <c r="W155" s="1060"/>
      <c r="X155" s="1060"/>
      <c r="Y155" s="1060"/>
      <c r="Z155" s="1060"/>
      <c r="AA155" s="1544"/>
      <c r="AB155" s="491"/>
      <c r="AC155" s="491"/>
      <c r="AD155" s="491"/>
      <c r="AE155" s="491"/>
    </row>
    <row r="156" spans="1:31" s="2013" customFormat="1" ht="11.25" customHeight="1">
      <c r="A156" s="895"/>
      <c r="B156" s="1548"/>
      <c r="C156" s="1548"/>
      <c r="D156" s="276"/>
      <c r="K156" s="1060"/>
      <c r="L156" s="1548"/>
      <c r="M156" s="1548"/>
      <c r="N156" s="1060"/>
      <c r="O156" s="1060"/>
      <c r="P156" s="1060"/>
      <c r="Q156" s="1060"/>
      <c r="R156" s="1548"/>
      <c r="S156" s="1060"/>
      <c r="T156" s="1060"/>
      <c r="U156" s="469"/>
      <c r="V156" s="1060"/>
      <c r="W156" s="1060"/>
      <c r="X156" s="1060"/>
      <c r="Y156" s="1060"/>
      <c r="Z156" s="1060"/>
      <c r="AA156" s="1544"/>
      <c r="AB156" s="491"/>
      <c r="AC156" s="491"/>
      <c r="AD156" s="491"/>
      <c r="AE156" s="491"/>
    </row>
    <row r="157" spans="1:31" s="2013" customFormat="1" ht="11.25" customHeight="1">
      <c r="A157" s="895"/>
      <c r="B157" s="1548"/>
      <c r="C157" s="1548"/>
      <c r="D157" s="276"/>
      <c r="K157" s="1060"/>
      <c r="L157" s="1548"/>
      <c r="M157" s="1548"/>
      <c r="N157" s="1060"/>
      <c r="O157" s="1060"/>
      <c r="P157" s="1060"/>
      <c r="Q157" s="1060"/>
      <c r="R157" s="1548"/>
      <c r="S157" s="1060"/>
      <c r="T157" s="1060"/>
      <c r="U157" s="469"/>
      <c r="V157" s="1060"/>
      <c r="W157" s="1060"/>
      <c r="X157" s="1060"/>
      <c r="Y157" s="1060"/>
      <c r="Z157" s="1060"/>
      <c r="AA157" s="1544"/>
      <c r="AB157" s="491"/>
      <c r="AC157" s="491"/>
      <c r="AD157" s="491"/>
      <c r="AE157" s="491"/>
    </row>
    <row r="158" spans="1:31" s="2013" customFormat="1" ht="11.25" customHeight="1">
      <c r="A158" s="895"/>
      <c r="B158" s="1548"/>
      <c r="C158" s="1548"/>
      <c r="D158" s="276"/>
      <c r="K158" s="1060"/>
      <c r="L158" s="1548"/>
      <c r="M158" s="1548"/>
      <c r="N158" s="1060"/>
      <c r="O158" s="1060"/>
      <c r="P158" s="1060"/>
      <c r="Q158" s="1060"/>
      <c r="R158" s="1548"/>
      <c r="S158" s="1060"/>
      <c r="T158" s="1060"/>
      <c r="U158" s="469"/>
      <c r="V158" s="1060"/>
      <c r="W158" s="1060"/>
      <c r="X158" s="1060"/>
      <c r="Y158" s="1060"/>
      <c r="Z158" s="1060"/>
      <c r="AA158" s="1544"/>
      <c r="AB158" s="491"/>
      <c r="AC158" s="491"/>
      <c r="AD158" s="491"/>
      <c r="AE158" s="491"/>
    </row>
    <row r="159" spans="1:31" s="2013" customFormat="1" ht="11.25" customHeight="1">
      <c r="A159" s="895"/>
      <c r="B159" s="1548"/>
      <c r="C159" s="1548"/>
      <c r="D159" s="276"/>
      <c r="K159" s="1060"/>
      <c r="L159" s="1548"/>
      <c r="M159" s="1548"/>
      <c r="N159" s="1060"/>
      <c r="O159" s="1060"/>
      <c r="P159" s="1060"/>
      <c r="Q159" s="1060"/>
      <c r="R159" s="1548"/>
      <c r="S159" s="1060"/>
      <c r="T159" s="1060"/>
      <c r="U159" s="469"/>
      <c r="V159" s="1060"/>
      <c r="W159" s="1060"/>
      <c r="X159" s="1060"/>
      <c r="Y159" s="1060"/>
      <c r="Z159" s="1060"/>
      <c r="AA159" s="1544"/>
      <c r="AB159" s="491"/>
      <c r="AC159" s="491"/>
      <c r="AD159" s="491"/>
      <c r="AE159" s="491"/>
    </row>
    <row r="160" spans="1:31" s="2013" customFormat="1" ht="11.25" customHeight="1">
      <c r="A160" s="895"/>
      <c r="B160" s="1548"/>
      <c r="C160" s="1548"/>
      <c r="D160" s="276"/>
      <c r="K160" s="1060"/>
      <c r="L160" s="1548"/>
      <c r="M160" s="1548"/>
      <c r="N160" s="1060"/>
      <c r="O160" s="1060"/>
      <c r="P160" s="1060"/>
      <c r="Q160" s="1060"/>
      <c r="R160" s="1548"/>
      <c r="S160" s="1060"/>
      <c r="T160" s="1060"/>
      <c r="U160" s="469"/>
      <c r="V160" s="1060"/>
      <c r="W160" s="1060"/>
      <c r="X160" s="1060"/>
      <c r="Y160" s="1060"/>
      <c r="Z160" s="1060"/>
      <c r="AA160" s="1544"/>
      <c r="AB160" s="491"/>
      <c r="AC160" s="491"/>
      <c r="AD160" s="491"/>
      <c r="AE160" s="491"/>
    </row>
    <row r="161" spans="1:31" s="2013" customFormat="1" ht="11.25" customHeight="1">
      <c r="A161" s="895"/>
      <c r="B161" s="1548"/>
      <c r="C161" s="1548"/>
      <c r="D161" s="276"/>
      <c r="K161" s="1060"/>
      <c r="L161" s="1548"/>
      <c r="M161" s="1548"/>
      <c r="N161" s="1060"/>
      <c r="O161" s="1060"/>
      <c r="P161" s="1060"/>
      <c r="Q161" s="1060"/>
      <c r="R161" s="1548"/>
      <c r="S161" s="1060"/>
      <c r="T161" s="1060"/>
      <c r="U161" s="469"/>
      <c r="V161" s="1060"/>
      <c r="W161" s="1060"/>
      <c r="X161" s="1060"/>
      <c r="Y161" s="1060"/>
      <c r="Z161" s="1060"/>
      <c r="AA161" s="1544"/>
      <c r="AB161" s="491"/>
      <c r="AC161" s="491"/>
      <c r="AD161" s="491"/>
      <c r="AE161" s="491"/>
    </row>
    <row r="162" spans="1:31" s="2013" customFormat="1" ht="11.25" customHeight="1">
      <c r="A162" s="895"/>
      <c r="B162" s="1548"/>
      <c r="C162" s="1548"/>
      <c r="D162" s="276"/>
      <c r="K162" s="1060"/>
      <c r="L162" s="1548"/>
      <c r="M162" s="1548"/>
      <c r="N162" s="1060"/>
      <c r="O162" s="1060"/>
      <c r="P162" s="1060"/>
      <c r="Q162" s="1060"/>
      <c r="R162" s="1548"/>
      <c r="S162" s="1060"/>
      <c r="T162" s="1060"/>
      <c r="U162" s="469"/>
      <c r="V162" s="1060"/>
      <c r="W162" s="1060"/>
      <c r="X162" s="1060"/>
      <c r="Y162" s="1060"/>
      <c r="Z162" s="1060"/>
      <c r="AA162" s="1544"/>
      <c r="AB162" s="491"/>
      <c r="AC162" s="491"/>
      <c r="AD162" s="491"/>
      <c r="AE162" s="491"/>
    </row>
    <row r="163" spans="1:31" s="2013" customFormat="1" ht="11.25" customHeight="1">
      <c r="A163" s="895"/>
      <c r="B163" s="1548"/>
      <c r="C163" s="1548"/>
      <c r="D163" s="276"/>
      <c r="K163" s="1060"/>
      <c r="L163" s="1548"/>
      <c r="M163" s="1548"/>
      <c r="N163" s="1060"/>
      <c r="O163" s="1060"/>
      <c r="P163" s="1060"/>
      <c r="Q163" s="1060"/>
      <c r="R163" s="1548"/>
      <c r="S163" s="1060"/>
      <c r="T163" s="1060"/>
      <c r="U163" s="469"/>
      <c r="V163" s="1060"/>
      <c r="W163" s="1060"/>
      <c r="X163" s="1060"/>
      <c r="Y163" s="1060"/>
      <c r="Z163" s="1060"/>
      <c r="AA163" s="1544"/>
      <c r="AB163" s="491"/>
      <c r="AC163" s="491"/>
      <c r="AD163" s="491"/>
      <c r="AE163" s="491"/>
    </row>
    <row r="164" spans="1:31" s="2013" customFormat="1" ht="11.25" customHeight="1">
      <c r="A164" s="895"/>
      <c r="B164" s="1548"/>
      <c r="C164" s="1548"/>
      <c r="D164" s="276"/>
      <c r="K164" s="1060"/>
      <c r="L164" s="1548"/>
      <c r="M164" s="1548"/>
      <c r="N164" s="1060"/>
      <c r="O164" s="1060"/>
      <c r="P164" s="1060"/>
      <c r="Q164" s="1060"/>
      <c r="R164" s="1548"/>
      <c r="S164" s="1060"/>
      <c r="T164" s="1060"/>
      <c r="U164" s="469"/>
      <c r="V164" s="1060"/>
      <c r="W164" s="1060"/>
      <c r="X164" s="1060"/>
      <c r="Y164" s="1060"/>
      <c r="Z164" s="1060"/>
      <c r="AA164" s="1544"/>
      <c r="AB164" s="491"/>
      <c r="AC164" s="491"/>
      <c r="AD164" s="491"/>
      <c r="AE164" s="491"/>
    </row>
    <row r="165" spans="1:31" s="2013" customFormat="1" ht="11.25" customHeight="1">
      <c r="A165" s="895"/>
      <c r="B165" s="1548"/>
      <c r="C165" s="1548"/>
      <c r="D165" s="276"/>
      <c r="K165" s="1060"/>
      <c r="L165" s="1548"/>
      <c r="M165" s="1548"/>
      <c r="N165" s="1060"/>
      <c r="O165" s="1060"/>
      <c r="P165" s="1060"/>
      <c r="Q165" s="1060"/>
      <c r="R165" s="1548"/>
      <c r="S165" s="1060"/>
      <c r="T165" s="1060"/>
      <c r="U165" s="469"/>
      <c r="V165" s="1060"/>
      <c r="W165" s="1060"/>
      <c r="X165" s="1060"/>
      <c r="Y165" s="1060"/>
      <c r="Z165" s="1060"/>
      <c r="AA165" s="1544"/>
      <c r="AB165" s="491"/>
      <c r="AC165" s="491"/>
      <c r="AD165" s="491"/>
      <c r="AE165" s="491"/>
    </row>
    <row r="166" spans="1:31" s="2013" customFormat="1" ht="11.25" customHeight="1">
      <c r="A166" s="895"/>
      <c r="B166" s="1548"/>
      <c r="C166" s="1548"/>
      <c r="D166" s="276"/>
      <c r="K166" s="1060"/>
      <c r="L166" s="1548"/>
      <c r="M166" s="1548"/>
      <c r="N166" s="1060"/>
      <c r="O166" s="1060"/>
      <c r="P166" s="1060"/>
      <c r="Q166" s="1060"/>
      <c r="R166" s="1548"/>
      <c r="S166" s="1060"/>
      <c r="T166" s="1060"/>
      <c r="U166" s="469"/>
      <c r="V166" s="1060"/>
      <c r="W166" s="1060"/>
      <c r="X166" s="1060"/>
      <c r="Y166" s="1060"/>
      <c r="Z166" s="1060"/>
      <c r="AA166" s="1544"/>
      <c r="AB166" s="491"/>
      <c r="AC166" s="491"/>
      <c r="AD166" s="491"/>
      <c r="AE166" s="491"/>
    </row>
    <row r="167" spans="1:31" s="2013" customFormat="1" ht="11.25" customHeight="1">
      <c r="A167" s="895"/>
      <c r="B167" s="1548"/>
      <c r="C167" s="1548"/>
      <c r="D167" s="276"/>
      <c r="K167" s="1060"/>
      <c r="L167" s="1548"/>
      <c r="M167" s="1548"/>
      <c r="N167" s="1060"/>
      <c r="O167" s="1060"/>
      <c r="P167" s="1060"/>
      <c r="Q167" s="1060"/>
      <c r="R167" s="1548"/>
      <c r="S167" s="1060"/>
      <c r="T167" s="1060"/>
      <c r="U167" s="469"/>
      <c r="V167" s="1060"/>
      <c r="W167" s="1060"/>
      <c r="X167" s="1060"/>
      <c r="Y167" s="1060"/>
      <c r="Z167" s="1060"/>
      <c r="AA167" s="1544"/>
      <c r="AB167" s="491"/>
      <c r="AC167" s="491"/>
      <c r="AD167" s="491"/>
      <c r="AE167" s="491"/>
    </row>
    <row r="168" spans="1:31" s="2013" customFormat="1" ht="11.25" customHeight="1">
      <c r="A168" s="895"/>
      <c r="B168" s="1548"/>
      <c r="C168" s="1548"/>
      <c r="D168" s="276"/>
      <c r="K168" s="1060"/>
      <c r="L168" s="1548"/>
      <c r="M168" s="1548"/>
      <c r="N168" s="1060"/>
      <c r="O168" s="1060"/>
      <c r="P168" s="1060"/>
      <c r="Q168" s="1060"/>
      <c r="R168" s="1548"/>
      <c r="S168" s="1060"/>
      <c r="T168" s="1060"/>
      <c r="U168" s="469"/>
      <c r="V168" s="1060"/>
      <c r="W168" s="1060"/>
      <c r="X168" s="1060"/>
      <c r="Y168" s="1060"/>
      <c r="Z168" s="1060"/>
      <c r="AA168" s="1544"/>
      <c r="AB168" s="491"/>
      <c r="AC168" s="491"/>
      <c r="AD168" s="491"/>
      <c r="AE168" s="491"/>
    </row>
    <row r="169" spans="1:31" s="2013" customFormat="1" ht="11.25" customHeight="1">
      <c r="A169" s="895"/>
      <c r="B169" s="1548"/>
      <c r="C169" s="1548"/>
      <c r="D169" s="276"/>
      <c r="K169" s="1060"/>
      <c r="L169" s="1548"/>
      <c r="M169" s="1548"/>
      <c r="N169" s="1060"/>
      <c r="O169" s="1060"/>
      <c r="P169" s="1060"/>
      <c r="Q169" s="1060"/>
      <c r="R169" s="1548"/>
      <c r="S169" s="1060"/>
      <c r="T169" s="1060"/>
      <c r="U169" s="469"/>
      <c r="V169" s="1060"/>
      <c r="W169" s="1060"/>
      <c r="X169" s="1060"/>
      <c r="Y169" s="1060"/>
      <c r="Z169" s="1060"/>
      <c r="AA169" s="1544"/>
      <c r="AB169" s="491"/>
      <c r="AC169" s="491"/>
      <c r="AD169" s="491"/>
      <c r="AE169" s="491"/>
    </row>
    <row r="170" spans="1:31" s="2013" customFormat="1" ht="11.25" customHeight="1">
      <c r="A170" s="895"/>
      <c r="B170" s="1548"/>
      <c r="C170" s="1548"/>
      <c r="D170" s="276"/>
      <c r="K170" s="1060"/>
      <c r="L170" s="1548"/>
      <c r="M170" s="1548"/>
      <c r="N170" s="1060"/>
      <c r="O170" s="1060"/>
      <c r="P170" s="1060"/>
      <c r="Q170" s="1060"/>
      <c r="R170" s="1548"/>
      <c r="S170" s="1060"/>
      <c r="T170" s="1060"/>
      <c r="U170" s="469"/>
      <c r="V170" s="1060"/>
      <c r="W170" s="1060"/>
      <c r="X170" s="1060"/>
      <c r="Y170" s="1060"/>
      <c r="Z170" s="1060"/>
      <c r="AA170" s="1544"/>
      <c r="AB170" s="491"/>
      <c r="AC170" s="491"/>
      <c r="AD170" s="491"/>
      <c r="AE170" s="491"/>
    </row>
    <row r="171" spans="1:31" s="2013" customFormat="1" ht="11.25" customHeight="1">
      <c r="A171" s="895"/>
      <c r="B171" s="1548"/>
      <c r="C171" s="1548"/>
      <c r="D171" s="276"/>
      <c r="K171" s="1060"/>
      <c r="L171" s="1548"/>
      <c r="M171" s="1548"/>
      <c r="N171" s="1060"/>
      <c r="O171" s="1060"/>
      <c r="P171" s="1060"/>
      <c r="Q171" s="1060"/>
      <c r="R171" s="1548"/>
      <c r="S171" s="1060"/>
      <c r="T171" s="1060"/>
      <c r="U171" s="469"/>
      <c r="V171" s="1060"/>
      <c r="W171" s="1060"/>
      <c r="X171" s="1060"/>
      <c r="Y171" s="1060"/>
      <c r="Z171" s="1060"/>
      <c r="AA171" s="1544"/>
      <c r="AB171" s="491"/>
      <c r="AC171" s="491"/>
      <c r="AD171" s="491"/>
      <c r="AE171" s="491"/>
    </row>
    <row r="172" spans="1:31" s="2013" customFormat="1" ht="11.25" customHeight="1">
      <c r="A172" s="895"/>
      <c r="B172" s="1548"/>
      <c r="C172" s="1548"/>
      <c r="D172" s="276"/>
      <c r="K172" s="1060"/>
      <c r="L172" s="1548"/>
      <c r="M172" s="1548"/>
      <c r="N172" s="1060"/>
      <c r="O172" s="1060"/>
      <c r="P172" s="1060"/>
      <c r="Q172" s="1060"/>
      <c r="R172" s="1548"/>
      <c r="S172" s="1060"/>
      <c r="T172" s="1060"/>
      <c r="U172" s="469"/>
      <c r="V172" s="1060"/>
      <c r="W172" s="1060"/>
      <c r="X172" s="1060"/>
      <c r="Y172" s="1060"/>
      <c r="Z172" s="1060"/>
      <c r="AA172" s="1544"/>
      <c r="AB172" s="491"/>
      <c r="AC172" s="491"/>
      <c r="AD172" s="491"/>
      <c r="AE172" s="491"/>
    </row>
    <row r="173" spans="1:31" s="2013" customFormat="1" ht="11.25" customHeight="1">
      <c r="A173" s="895"/>
      <c r="B173" s="1548"/>
      <c r="C173" s="1548"/>
      <c r="D173" s="276"/>
      <c r="K173" s="1060"/>
      <c r="L173" s="1548"/>
      <c r="M173" s="1548"/>
      <c r="N173" s="1060"/>
      <c r="O173" s="1060"/>
      <c r="P173" s="1060"/>
      <c r="Q173" s="1060"/>
      <c r="R173" s="1548"/>
      <c r="S173" s="1060"/>
      <c r="T173" s="1060"/>
      <c r="U173" s="469"/>
      <c r="V173" s="1060"/>
      <c r="W173" s="1060"/>
      <c r="X173" s="1060"/>
      <c r="Y173" s="1060"/>
      <c r="Z173" s="1060"/>
      <c r="AA173" s="1544"/>
      <c r="AB173" s="491"/>
      <c r="AC173" s="491"/>
      <c r="AD173" s="491"/>
      <c r="AE173" s="491"/>
    </row>
    <row r="174" spans="1:31" s="2013" customFormat="1" ht="11.25" customHeight="1">
      <c r="A174" s="895"/>
      <c r="B174" s="1548"/>
      <c r="C174" s="1548"/>
      <c r="D174" s="276"/>
      <c r="K174" s="1060"/>
      <c r="L174" s="1548"/>
      <c r="M174" s="1548"/>
      <c r="N174" s="1060"/>
      <c r="O174" s="1060"/>
      <c r="P174" s="1060"/>
      <c r="Q174" s="1060"/>
      <c r="R174" s="1548"/>
      <c r="S174" s="1060"/>
      <c r="T174" s="1060"/>
      <c r="U174" s="469"/>
      <c r="V174" s="1060"/>
      <c r="W174" s="1060"/>
      <c r="X174" s="1060"/>
      <c r="Y174" s="1060"/>
      <c r="Z174" s="1060"/>
      <c r="AA174" s="1544"/>
      <c r="AB174" s="491"/>
      <c r="AC174" s="491"/>
      <c r="AD174" s="491"/>
      <c r="AE174" s="491"/>
    </row>
    <row r="175" spans="1:31" s="2013" customFormat="1" ht="11.25" customHeight="1">
      <c r="A175" s="895"/>
      <c r="B175" s="1548"/>
      <c r="C175" s="1548"/>
      <c r="D175" s="276"/>
      <c r="K175" s="1060"/>
      <c r="L175" s="1548"/>
      <c r="M175" s="1548"/>
      <c r="N175" s="1060"/>
      <c r="O175" s="1060"/>
      <c r="P175" s="1060"/>
      <c r="Q175" s="1060"/>
      <c r="R175" s="1548"/>
      <c r="S175" s="1060"/>
      <c r="T175" s="1060"/>
      <c r="U175" s="469"/>
      <c r="V175" s="1060"/>
      <c r="W175" s="1060"/>
      <c r="X175" s="1060"/>
      <c r="Y175" s="1060"/>
      <c r="Z175" s="1060"/>
      <c r="AA175" s="1544"/>
      <c r="AB175" s="491"/>
      <c r="AC175" s="491"/>
      <c r="AD175" s="491"/>
      <c r="AE175" s="491"/>
    </row>
    <row r="176" spans="1:31" s="2013" customFormat="1" ht="11.25" customHeight="1">
      <c r="A176" s="895"/>
      <c r="B176" s="1548"/>
      <c r="C176" s="1548"/>
      <c r="D176" s="276"/>
      <c r="K176" s="1060"/>
      <c r="L176" s="1548"/>
      <c r="M176" s="1548"/>
      <c r="N176" s="1060"/>
      <c r="O176" s="1060"/>
      <c r="P176" s="1060"/>
      <c r="Q176" s="1060"/>
      <c r="R176" s="1548"/>
      <c r="S176" s="1060"/>
      <c r="T176" s="1060"/>
      <c r="U176" s="469"/>
      <c r="V176" s="1060"/>
      <c r="W176" s="1060"/>
      <c r="X176" s="1060"/>
      <c r="Y176" s="1060"/>
      <c r="Z176" s="1060"/>
      <c r="AA176" s="1544"/>
      <c r="AB176" s="491"/>
      <c r="AC176" s="491"/>
      <c r="AD176" s="491"/>
      <c r="AE176" s="491"/>
    </row>
    <row r="177" spans="1:31" s="2013" customFormat="1" ht="11.25" customHeight="1">
      <c r="A177" s="895"/>
      <c r="B177" s="1548"/>
      <c r="C177" s="1548"/>
      <c r="D177" s="276"/>
      <c r="K177" s="1060"/>
      <c r="L177" s="1548"/>
      <c r="M177" s="1548"/>
      <c r="N177" s="1060"/>
      <c r="O177" s="1060"/>
      <c r="P177" s="1060"/>
      <c r="Q177" s="1060"/>
      <c r="R177" s="1548"/>
      <c r="S177" s="1060"/>
      <c r="T177" s="1060"/>
      <c r="U177" s="469"/>
      <c r="V177" s="1060"/>
      <c r="W177" s="1060"/>
      <c r="X177" s="1060"/>
      <c r="Y177" s="1060"/>
      <c r="Z177" s="1060"/>
      <c r="AA177" s="1544"/>
      <c r="AB177" s="491"/>
      <c r="AC177" s="491"/>
      <c r="AD177" s="491"/>
      <c r="AE177" s="491"/>
    </row>
    <row r="178" spans="1:31" s="2013" customFormat="1" ht="11.25" customHeight="1">
      <c r="A178" s="895"/>
      <c r="B178" s="1548"/>
      <c r="C178" s="1548"/>
      <c r="D178" s="276"/>
      <c r="K178" s="1060"/>
      <c r="L178" s="1548"/>
      <c r="M178" s="1548"/>
      <c r="N178" s="1060"/>
      <c r="O178" s="1060"/>
      <c r="P178" s="1060"/>
      <c r="Q178" s="1060"/>
      <c r="R178" s="1548"/>
      <c r="S178" s="1060"/>
      <c r="T178" s="1060"/>
      <c r="U178" s="469"/>
      <c r="V178" s="1060"/>
      <c r="W178" s="1060"/>
      <c r="X178" s="1060"/>
      <c r="Y178" s="1060"/>
      <c r="Z178" s="1060"/>
      <c r="AA178" s="1544"/>
      <c r="AB178" s="491"/>
      <c r="AC178" s="491"/>
      <c r="AD178" s="491"/>
      <c r="AE178" s="491"/>
    </row>
    <row r="179" spans="1:31" s="2013" customFormat="1" ht="11.25" customHeight="1">
      <c r="A179" s="895"/>
      <c r="B179" s="1548"/>
      <c r="C179" s="1548"/>
      <c r="D179" s="276"/>
      <c r="K179" s="1060"/>
      <c r="L179" s="1548"/>
      <c r="M179" s="1548"/>
      <c r="N179" s="1060"/>
      <c r="O179" s="1060"/>
      <c r="P179" s="1060"/>
      <c r="Q179" s="1060"/>
      <c r="R179" s="1548"/>
      <c r="S179" s="1060"/>
      <c r="T179" s="1060"/>
      <c r="U179" s="469"/>
      <c r="V179" s="1060"/>
      <c r="W179" s="1060"/>
      <c r="X179" s="1060"/>
      <c r="Y179" s="1060"/>
      <c r="Z179" s="1060"/>
      <c r="AA179" s="1544"/>
      <c r="AB179" s="491"/>
      <c r="AC179" s="491"/>
      <c r="AD179" s="491"/>
      <c r="AE179" s="491"/>
    </row>
    <row r="180" spans="1:31" s="2013" customFormat="1" ht="11.25" customHeight="1">
      <c r="A180" s="895"/>
      <c r="B180" s="1548"/>
      <c r="C180" s="1548"/>
      <c r="D180" s="276"/>
      <c r="K180" s="1060"/>
      <c r="L180" s="1548"/>
      <c r="M180" s="1548"/>
      <c r="N180" s="1060"/>
      <c r="O180" s="1060"/>
      <c r="P180" s="1060"/>
      <c r="Q180" s="1060"/>
      <c r="R180" s="1548"/>
      <c r="S180" s="1060"/>
      <c r="T180" s="1060"/>
      <c r="U180" s="469"/>
      <c r="V180" s="1060"/>
      <c r="W180" s="1060"/>
      <c r="X180" s="1060"/>
      <c r="Y180" s="1060"/>
      <c r="Z180" s="1060"/>
      <c r="AA180" s="1544"/>
      <c r="AB180" s="491"/>
      <c r="AC180" s="491"/>
      <c r="AD180" s="491"/>
      <c r="AE180" s="491"/>
    </row>
    <row r="181" spans="1:31" s="2013" customFormat="1" ht="11.25" customHeight="1">
      <c r="A181" s="895"/>
      <c r="B181" s="1548"/>
      <c r="C181" s="1548"/>
      <c r="D181" s="276"/>
      <c r="K181" s="1060"/>
      <c r="L181" s="1548"/>
      <c r="M181" s="1548"/>
      <c r="N181" s="1060"/>
      <c r="O181" s="1060"/>
      <c r="P181" s="1060"/>
      <c r="Q181" s="1060"/>
      <c r="R181" s="1548"/>
      <c r="S181" s="1060"/>
      <c r="T181" s="1060"/>
      <c r="U181" s="469"/>
      <c r="V181" s="1060"/>
      <c r="W181" s="1060"/>
      <c r="X181" s="1060"/>
      <c r="Y181" s="1060"/>
      <c r="Z181" s="1060"/>
      <c r="AA181" s="1544"/>
      <c r="AB181" s="491"/>
      <c r="AC181" s="491"/>
      <c r="AD181" s="491"/>
      <c r="AE181" s="491"/>
    </row>
    <row r="182" spans="1:31" s="2013" customFormat="1" ht="11.25" customHeight="1">
      <c r="A182" s="895"/>
      <c r="B182" s="1548"/>
      <c r="C182" s="1548"/>
      <c r="D182" s="276"/>
      <c r="K182" s="1060"/>
      <c r="L182" s="1548"/>
      <c r="M182" s="1548"/>
      <c r="N182" s="1060"/>
      <c r="O182" s="1060"/>
      <c r="P182" s="1060"/>
      <c r="Q182" s="1060"/>
      <c r="R182" s="1548"/>
      <c r="S182" s="1060"/>
      <c r="T182" s="1060"/>
      <c r="U182" s="469"/>
      <c r="V182" s="1060"/>
      <c r="W182" s="1060"/>
      <c r="X182" s="1060"/>
      <c r="Y182" s="1060"/>
      <c r="Z182" s="1060"/>
      <c r="AA182" s="1544"/>
      <c r="AB182" s="491"/>
      <c r="AC182" s="491"/>
      <c r="AD182" s="491"/>
      <c r="AE182" s="491"/>
    </row>
    <row r="183" spans="1:31" s="2013" customFormat="1" ht="11.25" customHeight="1">
      <c r="A183" s="895"/>
      <c r="B183" s="1548"/>
      <c r="C183" s="1548"/>
      <c r="D183" s="276"/>
      <c r="K183" s="1060"/>
      <c r="L183" s="1548"/>
      <c r="M183" s="1548"/>
      <c r="N183" s="1060"/>
      <c r="O183" s="1060"/>
      <c r="P183" s="1060"/>
      <c r="Q183" s="1060"/>
      <c r="R183" s="1548"/>
      <c r="S183" s="1060"/>
      <c r="T183" s="1060"/>
      <c r="U183" s="469"/>
      <c r="V183" s="1060"/>
      <c r="W183" s="1060"/>
      <c r="X183" s="1060"/>
      <c r="Y183" s="1060"/>
      <c r="Z183" s="1060"/>
      <c r="AA183" s="1544"/>
      <c r="AB183" s="491"/>
      <c r="AC183" s="491"/>
      <c r="AD183" s="491"/>
      <c r="AE183" s="491"/>
    </row>
    <row r="184" spans="1:31" s="2013" customFormat="1" ht="11.25" customHeight="1">
      <c r="A184" s="895"/>
      <c r="B184" s="1548"/>
      <c r="C184" s="1548"/>
      <c r="D184" s="276"/>
      <c r="K184" s="1060"/>
      <c r="L184" s="1548"/>
      <c r="M184" s="1548"/>
      <c r="N184" s="1060"/>
      <c r="O184" s="1060"/>
      <c r="P184" s="1060"/>
      <c r="Q184" s="1060"/>
      <c r="R184" s="1548"/>
      <c r="S184" s="1060"/>
      <c r="T184" s="1060"/>
      <c r="U184" s="469"/>
      <c r="V184" s="1060"/>
      <c r="W184" s="1060"/>
      <c r="X184" s="1060"/>
      <c r="Y184" s="1060"/>
      <c r="Z184" s="1060"/>
      <c r="AA184" s="1544"/>
      <c r="AB184" s="491"/>
      <c r="AC184" s="491"/>
      <c r="AD184" s="491"/>
      <c r="AE184" s="491"/>
    </row>
    <row r="185" spans="1:31" s="2013" customFormat="1" ht="11.25" customHeight="1">
      <c r="A185" s="895"/>
      <c r="B185" s="1548"/>
      <c r="C185" s="1548"/>
      <c r="D185" s="276"/>
      <c r="K185" s="1060"/>
      <c r="L185" s="1548"/>
      <c r="M185" s="1548"/>
      <c r="N185" s="1060"/>
      <c r="O185" s="1060"/>
      <c r="P185" s="1060"/>
      <c r="Q185" s="1060"/>
      <c r="R185" s="1548"/>
      <c r="S185" s="1060"/>
      <c r="T185" s="1060"/>
      <c r="U185" s="469"/>
      <c r="V185" s="1060"/>
      <c r="W185" s="1060"/>
      <c r="X185" s="1060"/>
      <c r="Y185" s="1060"/>
      <c r="Z185" s="1060"/>
      <c r="AA185" s="1544"/>
      <c r="AB185" s="491"/>
      <c r="AC185" s="491"/>
      <c r="AD185" s="491"/>
      <c r="AE185" s="491"/>
    </row>
    <row r="186" spans="1:31" s="2013" customFormat="1" ht="11.25" customHeight="1">
      <c r="A186" s="895"/>
      <c r="B186" s="1548"/>
      <c r="C186" s="1548"/>
      <c r="D186" s="276"/>
      <c r="K186" s="1060"/>
      <c r="L186" s="1548"/>
      <c r="M186" s="1548"/>
      <c r="N186" s="1060"/>
      <c r="O186" s="1060"/>
      <c r="P186" s="1060"/>
      <c r="Q186" s="1060"/>
      <c r="R186" s="1548"/>
      <c r="S186" s="1060"/>
      <c r="T186" s="1060"/>
      <c r="U186" s="469"/>
      <c r="V186" s="1060"/>
      <c r="W186" s="1060"/>
      <c r="X186" s="1060"/>
      <c r="Y186" s="1060"/>
      <c r="Z186" s="1060"/>
      <c r="AA186" s="1544"/>
      <c r="AB186" s="491"/>
      <c r="AC186" s="491"/>
      <c r="AD186" s="491"/>
      <c r="AE186" s="491"/>
    </row>
    <row r="187" spans="1:31" s="2013" customFormat="1" ht="11.25" customHeight="1">
      <c r="A187" s="895"/>
      <c r="B187" s="1548"/>
      <c r="C187" s="1548"/>
      <c r="D187" s="276"/>
      <c r="K187" s="1060"/>
      <c r="L187" s="1548"/>
      <c r="M187" s="1548"/>
      <c r="N187" s="1060"/>
      <c r="O187" s="1060"/>
      <c r="P187" s="1060"/>
      <c r="Q187" s="1060"/>
      <c r="R187" s="1548"/>
      <c r="S187" s="1060"/>
      <c r="T187" s="1060"/>
      <c r="U187" s="469"/>
      <c r="V187" s="1060"/>
      <c r="W187" s="1060"/>
      <c r="X187" s="1060"/>
      <c r="Y187" s="1060"/>
      <c r="Z187" s="1060"/>
      <c r="AA187" s="1544"/>
      <c r="AB187" s="491"/>
      <c r="AC187" s="491"/>
      <c r="AD187" s="491"/>
      <c r="AE187" s="491"/>
    </row>
    <row r="188" spans="1:31" s="2013" customFormat="1" ht="11.25" customHeight="1">
      <c r="A188" s="895"/>
      <c r="B188" s="1548"/>
      <c r="C188" s="1548"/>
      <c r="D188" s="276"/>
      <c r="K188" s="1060"/>
      <c r="L188" s="1548"/>
      <c r="M188" s="1548"/>
      <c r="N188" s="1060"/>
      <c r="O188" s="1060"/>
      <c r="P188" s="1060"/>
      <c r="Q188" s="1060"/>
      <c r="R188" s="1548"/>
      <c r="S188" s="1060"/>
      <c r="T188" s="1060"/>
      <c r="U188" s="469"/>
      <c r="V188" s="1060"/>
      <c r="W188" s="1060"/>
      <c r="X188" s="1060"/>
      <c r="Y188" s="1060"/>
      <c r="Z188" s="1060"/>
      <c r="AA188" s="1544"/>
      <c r="AB188" s="491"/>
      <c r="AC188" s="491"/>
      <c r="AD188" s="491"/>
      <c r="AE188" s="491"/>
    </row>
    <row r="189" spans="1:31" s="2013" customFormat="1" ht="11.25" customHeight="1">
      <c r="A189" s="895"/>
      <c r="B189" s="1548"/>
      <c r="C189" s="1548"/>
      <c r="D189" s="276"/>
      <c r="K189" s="1060"/>
      <c r="L189" s="1548"/>
      <c r="M189" s="1548"/>
      <c r="N189" s="1060"/>
      <c r="O189" s="1060"/>
      <c r="P189" s="1060"/>
      <c r="Q189" s="1060"/>
      <c r="R189" s="1548"/>
      <c r="S189" s="1060"/>
      <c r="T189" s="1060"/>
      <c r="U189" s="469"/>
      <c r="V189" s="1060"/>
      <c r="W189" s="1060"/>
      <c r="X189" s="1060"/>
      <c r="Y189" s="1060"/>
      <c r="Z189" s="1060"/>
      <c r="AA189" s="1544"/>
      <c r="AB189" s="491"/>
      <c r="AC189" s="491"/>
      <c r="AD189" s="491"/>
      <c r="AE189" s="491"/>
    </row>
    <row r="190" spans="1:31" s="2013" customFormat="1" ht="11.25" customHeight="1">
      <c r="A190" s="895"/>
      <c r="B190" s="1548"/>
      <c r="C190" s="1548"/>
      <c r="D190" s="276"/>
      <c r="K190" s="1060"/>
      <c r="L190" s="1548"/>
      <c r="M190" s="1548"/>
      <c r="N190" s="1060"/>
      <c r="O190" s="1060"/>
      <c r="P190" s="1060"/>
      <c r="Q190" s="1060"/>
      <c r="R190" s="1548"/>
      <c r="S190" s="1060"/>
      <c r="T190" s="1060"/>
      <c r="U190" s="469"/>
      <c r="V190" s="1060"/>
      <c r="W190" s="1060"/>
      <c r="X190" s="1060"/>
      <c r="Y190" s="1060"/>
      <c r="Z190" s="1060"/>
      <c r="AA190" s="1544"/>
      <c r="AB190" s="491"/>
      <c r="AC190" s="491"/>
      <c r="AD190" s="491"/>
      <c r="AE190" s="491"/>
    </row>
    <row r="191" spans="1:31" s="2013" customFormat="1" ht="11.25" customHeight="1">
      <c r="A191" s="895"/>
      <c r="B191" s="1548"/>
      <c r="C191" s="1548"/>
      <c r="D191" s="276"/>
      <c r="K191" s="1060"/>
      <c r="L191" s="1548"/>
      <c r="M191" s="1548"/>
      <c r="N191" s="1060"/>
      <c r="O191" s="1060"/>
      <c r="P191" s="1060"/>
      <c r="Q191" s="1060"/>
      <c r="R191" s="1548"/>
      <c r="S191" s="1060"/>
      <c r="T191" s="1060"/>
      <c r="U191" s="469"/>
      <c r="V191" s="1060"/>
      <c r="W191" s="1060"/>
      <c r="X191" s="1060"/>
      <c r="Y191" s="1060"/>
      <c r="Z191" s="1060"/>
      <c r="AA191" s="1544"/>
      <c r="AB191" s="491"/>
      <c r="AC191" s="491"/>
      <c r="AD191" s="491"/>
      <c r="AE191" s="491"/>
    </row>
    <row r="192" spans="1:31" s="2013" customFormat="1" ht="11.25" customHeight="1">
      <c r="A192" s="895"/>
      <c r="B192" s="1548"/>
      <c r="C192" s="1548"/>
      <c r="D192" s="276"/>
      <c r="K192" s="1060"/>
      <c r="L192" s="1548"/>
      <c r="M192" s="1548"/>
      <c r="N192" s="1060"/>
      <c r="O192" s="1060"/>
      <c r="P192" s="1060"/>
      <c r="Q192" s="1060"/>
      <c r="R192" s="1548"/>
      <c r="S192" s="1060"/>
      <c r="T192" s="1060"/>
      <c r="U192" s="469"/>
      <c r="V192" s="1060"/>
      <c r="W192" s="1060"/>
      <c r="X192" s="1060"/>
      <c r="Y192" s="1060"/>
      <c r="Z192" s="1060"/>
      <c r="AA192" s="1544"/>
      <c r="AB192" s="491"/>
      <c r="AC192" s="491"/>
      <c r="AD192" s="491"/>
      <c r="AE192" s="491"/>
    </row>
    <row r="193" spans="1:31" s="2013" customFormat="1" ht="11.25" customHeight="1">
      <c r="A193" s="895"/>
      <c r="B193" s="1548"/>
      <c r="C193" s="1548"/>
      <c r="D193" s="276"/>
      <c r="K193" s="1060"/>
      <c r="L193" s="1548"/>
      <c r="M193" s="1548"/>
      <c r="N193" s="1060"/>
      <c r="O193" s="1060"/>
      <c r="P193" s="1060"/>
      <c r="Q193" s="1060"/>
      <c r="R193" s="1548"/>
      <c r="S193" s="1060"/>
      <c r="T193" s="1060"/>
      <c r="U193" s="469"/>
      <c r="V193" s="1060"/>
      <c r="W193" s="1060"/>
      <c r="X193" s="1060"/>
      <c r="Y193" s="1060"/>
      <c r="Z193" s="1060"/>
      <c r="AA193" s="1544"/>
      <c r="AB193" s="491"/>
      <c r="AC193" s="491"/>
      <c r="AD193" s="491"/>
      <c r="AE193" s="491"/>
    </row>
    <row r="194" spans="1:31" s="2013" customFormat="1" ht="11.25" customHeight="1">
      <c r="A194" s="895"/>
      <c r="B194" s="1548"/>
      <c r="C194" s="1548"/>
      <c r="D194" s="276"/>
      <c r="K194" s="1060"/>
      <c r="L194" s="1548"/>
      <c r="M194" s="1548"/>
      <c r="N194" s="1060"/>
      <c r="O194" s="1060"/>
      <c r="P194" s="1060"/>
      <c r="Q194" s="1060"/>
      <c r="R194" s="1548"/>
      <c r="S194" s="1060"/>
      <c r="T194" s="1060"/>
      <c r="U194" s="469"/>
      <c r="V194" s="1060"/>
      <c r="W194" s="1060"/>
      <c r="X194" s="1060"/>
      <c r="Y194" s="1060"/>
      <c r="Z194" s="1060"/>
      <c r="AA194" s="1544"/>
      <c r="AB194" s="491"/>
      <c r="AC194" s="491"/>
      <c r="AD194" s="491"/>
      <c r="AE194" s="491"/>
    </row>
    <row r="195" spans="1:31" s="2013" customFormat="1" ht="11.25" customHeight="1">
      <c r="A195" s="895"/>
      <c r="B195" s="1548"/>
      <c r="C195" s="1548"/>
      <c r="D195" s="276"/>
      <c r="K195" s="1060"/>
      <c r="L195" s="1548"/>
      <c r="M195" s="1548"/>
      <c r="N195" s="1060"/>
      <c r="O195" s="1060"/>
      <c r="P195" s="1060"/>
      <c r="Q195" s="1060"/>
      <c r="R195" s="1548"/>
      <c r="S195" s="1060"/>
      <c r="T195" s="1060"/>
      <c r="U195" s="469"/>
      <c r="V195" s="1060"/>
      <c r="W195" s="1060"/>
      <c r="X195" s="1060"/>
      <c r="Y195" s="1060"/>
      <c r="Z195" s="1060"/>
      <c r="AA195" s="1544"/>
      <c r="AB195" s="491"/>
      <c r="AC195" s="491"/>
      <c r="AD195" s="491"/>
      <c r="AE195" s="491"/>
    </row>
    <row r="196" spans="1:31" s="2013" customFormat="1" ht="11.25" customHeight="1">
      <c r="A196" s="895"/>
      <c r="B196" s="1548"/>
      <c r="C196" s="1548"/>
      <c r="D196" s="276"/>
      <c r="K196" s="1060"/>
      <c r="L196" s="1548"/>
      <c r="M196" s="1548"/>
      <c r="N196" s="1060"/>
      <c r="O196" s="1060"/>
      <c r="P196" s="1060"/>
      <c r="Q196" s="1060"/>
      <c r="R196" s="1548"/>
      <c r="S196" s="1060"/>
      <c r="T196" s="1060"/>
      <c r="U196" s="469"/>
      <c r="V196" s="1060"/>
      <c r="W196" s="1060"/>
      <c r="X196" s="1060"/>
      <c r="Y196" s="1060"/>
      <c r="Z196" s="1060"/>
      <c r="AA196" s="1544"/>
      <c r="AB196" s="491"/>
      <c r="AC196" s="491"/>
      <c r="AD196" s="491"/>
      <c r="AE196" s="491"/>
    </row>
    <row r="197" spans="1:31" s="2013" customFormat="1" ht="11.25" customHeight="1">
      <c r="A197" s="895"/>
      <c r="B197" s="1548"/>
      <c r="C197" s="1548"/>
      <c r="D197" s="276"/>
      <c r="K197" s="1060"/>
      <c r="L197" s="1548"/>
      <c r="M197" s="1548"/>
      <c r="N197" s="1060"/>
      <c r="O197" s="1060"/>
      <c r="P197" s="1060"/>
      <c r="Q197" s="1060"/>
      <c r="R197" s="1548"/>
      <c r="S197" s="1060"/>
      <c r="T197" s="1060"/>
      <c r="U197" s="469"/>
      <c r="V197" s="1060"/>
      <c r="W197" s="1060"/>
      <c r="X197" s="1060"/>
      <c r="Y197" s="1060"/>
      <c r="Z197" s="1060"/>
      <c r="AA197" s="1544"/>
      <c r="AB197" s="491"/>
      <c r="AC197" s="491"/>
      <c r="AD197" s="491"/>
      <c r="AE197" s="491"/>
    </row>
    <row r="198" spans="1:31" s="2013" customFormat="1" ht="11.25" customHeight="1">
      <c r="A198" s="895"/>
      <c r="B198" s="1548"/>
      <c r="C198" s="1548"/>
      <c r="D198" s="276"/>
      <c r="K198" s="1060"/>
      <c r="L198" s="1548"/>
      <c r="M198" s="1548"/>
      <c r="N198" s="1060"/>
      <c r="O198" s="1060"/>
      <c r="P198" s="1060"/>
      <c r="Q198" s="1060"/>
      <c r="R198" s="1548"/>
      <c r="S198" s="1060"/>
      <c r="T198" s="1060"/>
      <c r="U198" s="469"/>
      <c r="V198" s="1060"/>
      <c r="W198" s="1060"/>
      <c r="X198" s="1060"/>
      <c r="Y198" s="1060"/>
      <c r="Z198" s="1060"/>
      <c r="AA198" s="1544"/>
      <c r="AB198" s="491"/>
      <c r="AC198" s="491"/>
      <c r="AD198" s="491"/>
      <c r="AE198" s="491"/>
    </row>
    <row r="199" spans="1:31" s="2013" customFormat="1" ht="11.25" customHeight="1">
      <c r="A199" s="895"/>
      <c r="B199" s="1548"/>
      <c r="C199" s="1548"/>
      <c r="D199" s="276"/>
      <c r="K199" s="1060"/>
      <c r="L199" s="1548"/>
      <c r="M199" s="1548"/>
      <c r="N199" s="1060"/>
      <c r="O199" s="1060"/>
      <c r="P199" s="1060"/>
      <c r="Q199" s="1060"/>
      <c r="R199" s="1548"/>
      <c r="S199" s="1060"/>
      <c r="T199" s="1060"/>
      <c r="U199" s="469"/>
      <c r="V199" s="1060"/>
      <c r="W199" s="1060"/>
      <c r="X199" s="1060"/>
      <c r="Y199" s="1060"/>
      <c r="Z199" s="1060"/>
      <c r="AA199" s="1544"/>
      <c r="AB199" s="491"/>
      <c r="AC199" s="491"/>
      <c r="AD199" s="491"/>
      <c r="AE199" s="491"/>
    </row>
    <row r="200" spans="1:31" s="2013" customFormat="1" ht="11.25" customHeight="1">
      <c r="A200" s="895"/>
      <c r="B200" s="1548"/>
      <c r="C200" s="1548"/>
      <c r="D200" s="276"/>
      <c r="K200" s="1060"/>
      <c r="L200" s="1548"/>
      <c r="M200" s="1548"/>
      <c r="N200" s="1060"/>
      <c r="O200" s="1060"/>
      <c r="P200" s="1060"/>
      <c r="Q200" s="1060"/>
      <c r="R200" s="1548"/>
      <c r="S200" s="1060"/>
      <c r="T200" s="1060"/>
      <c r="U200" s="469"/>
      <c r="V200" s="1060"/>
      <c r="W200" s="1060"/>
      <c r="X200" s="1060"/>
      <c r="Y200" s="1060"/>
      <c r="Z200" s="1060"/>
      <c r="AA200" s="1544"/>
      <c r="AB200" s="491"/>
      <c r="AC200" s="491"/>
      <c r="AD200" s="491"/>
      <c r="AE200" s="491"/>
    </row>
    <row r="201" spans="1:31" s="2013" customFormat="1" ht="11.25" customHeight="1">
      <c r="A201" s="895"/>
      <c r="B201" s="1548"/>
      <c r="C201" s="1548"/>
      <c r="D201" s="276"/>
      <c r="K201" s="1060"/>
      <c r="L201" s="1548"/>
      <c r="M201" s="1548"/>
      <c r="N201" s="1060"/>
      <c r="O201" s="1060"/>
      <c r="P201" s="1060"/>
      <c r="Q201" s="1060"/>
      <c r="R201" s="1548"/>
      <c r="S201" s="1060"/>
      <c r="T201" s="1060"/>
      <c r="U201" s="469"/>
      <c r="V201" s="1060"/>
      <c r="W201" s="1060"/>
      <c r="X201" s="1060"/>
      <c r="Y201" s="1060"/>
      <c r="Z201" s="1060"/>
      <c r="AA201" s="1544"/>
      <c r="AB201" s="491"/>
      <c r="AC201" s="491"/>
      <c r="AD201" s="491"/>
      <c r="AE201" s="491"/>
    </row>
    <row r="202" spans="1:31" s="2013" customFormat="1" ht="11.25" customHeight="1">
      <c r="A202" s="895"/>
      <c r="B202" s="1548"/>
      <c r="C202" s="1548"/>
      <c r="D202" s="276"/>
      <c r="K202" s="1060"/>
      <c r="L202" s="1548"/>
      <c r="M202" s="1548"/>
      <c r="N202" s="1060"/>
      <c r="O202" s="1060"/>
      <c r="P202" s="1060"/>
      <c r="Q202" s="1060"/>
      <c r="R202" s="1548"/>
      <c r="S202" s="1060"/>
      <c r="T202" s="1060"/>
      <c r="U202" s="469"/>
      <c r="V202" s="1060"/>
      <c r="W202" s="1060"/>
      <c r="X202" s="1060"/>
      <c r="Y202" s="1060"/>
      <c r="Z202" s="1060"/>
      <c r="AA202" s="1544"/>
      <c r="AB202" s="491"/>
      <c r="AC202" s="491"/>
      <c r="AD202" s="491"/>
      <c r="AE202" s="491"/>
    </row>
    <row r="203" spans="1:31" s="2013" customFormat="1" ht="11.25" customHeight="1">
      <c r="A203" s="895"/>
      <c r="B203" s="1548"/>
      <c r="C203" s="1548"/>
      <c r="D203" s="276"/>
      <c r="K203" s="1060"/>
      <c r="L203" s="1548"/>
      <c r="M203" s="1548"/>
      <c r="N203" s="1060"/>
      <c r="O203" s="1060"/>
      <c r="P203" s="1060"/>
      <c r="Q203" s="1060"/>
      <c r="R203" s="1548"/>
      <c r="S203" s="1060"/>
      <c r="T203" s="1060"/>
      <c r="U203" s="469"/>
      <c r="V203" s="1060"/>
      <c r="W203" s="1060"/>
      <c r="X203" s="1060"/>
      <c r="Y203" s="1060"/>
      <c r="Z203" s="1060"/>
      <c r="AA203" s="1544"/>
      <c r="AB203" s="491"/>
      <c r="AC203" s="491"/>
      <c r="AD203" s="491"/>
      <c r="AE203" s="491"/>
    </row>
    <row r="204" spans="1:31" s="2013" customFormat="1" ht="11.25" customHeight="1">
      <c r="A204" s="895"/>
      <c r="B204" s="1548"/>
      <c r="C204" s="1548"/>
      <c r="D204" s="276"/>
      <c r="K204" s="1060"/>
      <c r="L204" s="1548"/>
      <c r="M204" s="1548"/>
      <c r="N204" s="1060"/>
      <c r="O204" s="1060"/>
      <c r="P204" s="1060"/>
      <c r="Q204" s="1060"/>
      <c r="R204" s="1548"/>
      <c r="S204" s="1060"/>
      <c r="T204" s="1060"/>
      <c r="U204" s="469"/>
      <c r="V204" s="1060"/>
      <c r="W204" s="1060"/>
      <c r="X204" s="1060"/>
      <c r="Y204" s="1060"/>
      <c r="Z204" s="1060"/>
      <c r="AA204" s="1544"/>
      <c r="AB204" s="491"/>
      <c r="AC204" s="491"/>
      <c r="AD204" s="491"/>
      <c r="AE204" s="491"/>
    </row>
    <row r="208" spans="1:31" ht="11.25" customHeight="1">
      <c r="A208" s="898"/>
      <c r="B208" s="1543"/>
      <c r="D208" s="1543"/>
      <c r="K208" s="1543"/>
      <c r="N208" s="1543"/>
      <c r="O208" s="1543"/>
      <c r="P208" s="1543"/>
      <c r="Q208" s="1543"/>
      <c r="S208" s="1543"/>
      <c r="T208" s="1543"/>
      <c r="U208" s="1543"/>
      <c r="V208" s="1543"/>
      <c r="W208" s="1543"/>
      <c r="X208" s="1543"/>
      <c r="Y208" s="1543"/>
      <c r="Z208" s="1543"/>
      <c r="AA208" s="1543"/>
      <c r="AB208" s="1543"/>
      <c r="AC208" s="1543"/>
      <c r="AD208" s="1543"/>
      <c r="AE208" s="1543"/>
    </row>
    <row r="209" spans="1:31" ht="11.25" customHeight="1">
      <c r="A209" s="898"/>
      <c r="B209" s="1543"/>
      <c r="D209" s="1543"/>
      <c r="K209" s="1543"/>
      <c r="N209" s="1543"/>
      <c r="O209" s="1543"/>
      <c r="P209" s="1543"/>
      <c r="Q209" s="1543"/>
      <c r="S209" s="1543"/>
      <c r="T209" s="1543"/>
      <c r="U209" s="1543"/>
      <c r="V209" s="1543"/>
      <c r="W209" s="1543"/>
      <c r="X209" s="1543"/>
      <c r="Y209" s="1543"/>
      <c r="Z209" s="1543"/>
      <c r="AA209" s="1543"/>
      <c r="AB209" s="1543"/>
      <c r="AC209" s="1543"/>
      <c r="AD209" s="1543"/>
      <c r="AE209" s="1543"/>
    </row>
    <row r="210" spans="1:31" ht="11.25" customHeight="1">
      <c r="A210" s="898"/>
      <c r="B210" s="1543"/>
      <c r="D210" s="1543"/>
      <c r="K210" s="1543"/>
      <c r="N210" s="1543"/>
      <c r="O210" s="1543"/>
      <c r="P210" s="1543"/>
      <c r="Q210" s="1543"/>
      <c r="S210" s="1543"/>
      <c r="T210" s="1543"/>
      <c r="U210" s="1543"/>
      <c r="V210" s="1543"/>
      <c r="W210" s="1543"/>
      <c r="X210" s="1543"/>
      <c r="Y210" s="1543"/>
      <c r="Z210" s="1543"/>
      <c r="AA210" s="1543"/>
      <c r="AB210" s="1543"/>
      <c r="AC210" s="1543"/>
      <c r="AD210" s="1543"/>
      <c r="AE210" s="1543"/>
    </row>
    <row r="211" spans="1:31" ht="11.25" customHeight="1">
      <c r="A211" s="898"/>
      <c r="B211" s="1543"/>
      <c r="D211" s="1543"/>
      <c r="K211" s="1543"/>
      <c r="N211" s="1543"/>
      <c r="O211" s="1543"/>
      <c r="P211" s="1543"/>
      <c r="Q211" s="1543"/>
      <c r="S211" s="1543"/>
      <c r="T211" s="1543"/>
      <c r="U211" s="1543"/>
      <c r="V211" s="1543"/>
      <c r="W211" s="1543"/>
      <c r="X211" s="1543"/>
      <c r="Y211" s="1543"/>
      <c r="Z211" s="1543"/>
      <c r="AA211" s="1543"/>
      <c r="AB211" s="1543"/>
      <c r="AC211" s="1543"/>
      <c r="AD211" s="1543"/>
      <c r="AE211" s="1543"/>
    </row>
    <row r="212" spans="1:31" ht="11.25" customHeight="1">
      <c r="A212" s="898"/>
      <c r="B212" s="1543"/>
      <c r="D212" s="1543"/>
      <c r="K212" s="1543"/>
      <c r="N212" s="1543"/>
      <c r="O212" s="1543"/>
      <c r="P212" s="1543"/>
      <c r="Q212" s="1543"/>
      <c r="S212" s="1543"/>
      <c r="T212" s="1543"/>
      <c r="U212" s="1543"/>
      <c r="V212" s="1543"/>
      <c r="W212" s="1543"/>
      <c r="X212" s="1543"/>
      <c r="Y212" s="1543"/>
      <c r="Z212" s="1543"/>
      <c r="AA212" s="1543"/>
      <c r="AB212" s="1543"/>
      <c r="AC212" s="1543"/>
      <c r="AD212" s="1543"/>
      <c r="AE212" s="1543"/>
    </row>
    <row r="213" spans="1:31" ht="11.25" customHeight="1">
      <c r="A213" s="898"/>
      <c r="B213" s="1543"/>
      <c r="D213" s="1543"/>
      <c r="K213" s="1543"/>
      <c r="N213" s="1543"/>
      <c r="O213" s="1543"/>
      <c r="P213" s="1543"/>
      <c r="Q213" s="1543"/>
      <c r="S213" s="1543"/>
      <c r="T213" s="1543"/>
      <c r="U213" s="1543"/>
      <c r="V213" s="1543"/>
      <c r="W213" s="1543"/>
      <c r="X213" s="1543"/>
      <c r="Y213" s="1543"/>
      <c r="Z213" s="1543"/>
      <c r="AA213" s="1543"/>
      <c r="AB213" s="1543"/>
      <c r="AC213" s="1543"/>
      <c r="AD213" s="1543"/>
      <c r="AE213" s="1543"/>
    </row>
    <row r="214" spans="1:31" ht="11.25" customHeight="1">
      <c r="A214" s="898"/>
      <c r="B214" s="1543"/>
      <c r="D214" s="1543"/>
      <c r="K214" s="1543"/>
      <c r="N214" s="1543"/>
      <c r="O214" s="1543"/>
      <c r="P214" s="1543"/>
      <c r="Q214" s="1543"/>
      <c r="S214" s="1543"/>
      <c r="T214" s="1543"/>
      <c r="U214" s="1543"/>
      <c r="V214" s="1543"/>
      <c r="W214" s="1543"/>
      <c r="X214" s="1543"/>
      <c r="Y214" s="1543"/>
      <c r="Z214" s="1543"/>
      <c r="AA214" s="1543"/>
      <c r="AB214" s="1543"/>
      <c r="AC214" s="1543"/>
      <c r="AD214" s="1543"/>
      <c r="AE214" s="1543"/>
    </row>
    <row r="215" spans="1:31" ht="11.25" customHeight="1">
      <c r="A215" s="898"/>
      <c r="B215" s="1543"/>
      <c r="D215" s="1543"/>
      <c r="K215" s="1543"/>
      <c r="N215" s="1543"/>
      <c r="O215" s="1543"/>
      <c r="P215" s="1543"/>
      <c r="Q215" s="1543"/>
      <c r="S215" s="1543"/>
      <c r="T215" s="1543"/>
      <c r="U215" s="1543"/>
      <c r="V215" s="1543"/>
      <c r="W215" s="1543"/>
      <c r="X215" s="1543"/>
      <c r="Y215" s="1543"/>
      <c r="Z215" s="1543"/>
      <c r="AA215" s="1543"/>
      <c r="AB215" s="1543"/>
      <c r="AC215" s="1543"/>
      <c r="AD215" s="1543"/>
      <c r="AE215" s="1543"/>
    </row>
    <row r="216" spans="1:31" ht="11.25" customHeight="1">
      <c r="A216" s="898"/>
      <c r="B216" s="1543"/>
      <c r="D216" s="1543"/>
      <c r="K216" s="1543"/>
      <c r="N216" s="1543"/>
      <c r="O216" s="1543"/>
      <c r="P216" s="1543"/>
      <c r="Q216" s="1543"/>
      <c r="S216" s="1543"/>
      <c r="T216" s="1543"/>
      <c r="U216" s="1543"/>
      <c r="V216" s="1543"/>
      <c r="W216" s="1543"/>
      <c r="X216" s="1543"/>
      <c r="Y216" s="1543"/>
      <c r="Z216" s="1543"/>
      <c r="AA216" s="1543"/>
      <c r="AB216" s="1543"/>
      <c r="AC216" s="1543"/>
      <c r="AD216" s="1543"/>
      <c r="AE216" s="1543"/>
    </row>
    <row r="217" spans="1:31" ht="11.25" customHeight="1">
      <c r="A217" s="898"/>
      <c r="B217" s="1543"/>
      <c r="D217" s="1543"/>
      <c r="K217" s="1543"/>
      <c r="N217" s="1543"/>
      <c r="O217" s="1543"/>
      <c r="P217" s="1543"/>
      <c r="Q217" s="1543"/>
      <c r="S217" s="1543"/>
      <c r="T217" s="1543"/>
      <c r="U217" s="1543"/>
      <c r="V217" s="1543"/>
      <c r="W217" s="1543"/>
      <c r="X217" s="1543"/>
      <c r="Y217" s="1543"/>
      <c r="Z217" s="1543"/>
      <c r="AA217" s="1543"/>
      <c r="AB217" s="1543"/>
      <c r="AC217" s="1543"/>
      <c r="AD217" s="1543"/>
      <c r="AE217" s="1543"/>
    </row>
    <row r="218" spans="1:31" ht="11.25" customHeight="1">
      <c r="A218" s="898"/>
      <c r="B218" s="1543"/>
      <c r="D218" s="1543"/>
      <c r="K218" s="1543"/>
      <c r="N218" s="1543"/>
      <c r="O218" s="1543"/>
      <c r="P218" s="1543"/>
      <c r="Q218" s="1543"/>
      <c r="S218" s="1543"/>
      <c r="T218" s="1543"/>
      <c r="U218" s="1543"/>
      <c r="V218" s="1543"/>
      <c r="W218" s="1543"/>
      <c r="X218" s="1543"/>
      <c r="Y218" s="1543"/>
      <c r="Z218" s="1543"/>
      <c r="AA218" s="1543"/>
      <c r="AB218" s="1543"/>
      <c r="AC218" s="1543"/>
      <c r="AD218" s="1543"/>
      <c r="AE218" s="1543"/>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1F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1F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xr:uid="{00000000-0002-0000-1F00-000002000000}">
      <formula1>900</formula1>
    </dataValidation>
    <dataValidation type="decimal" allowBlank="1" showErrorMessage="1" errorTitle="Ошибка" error="Допускается ввод только действительных чисел!" sqref="H36:I37" xr:uid="{00000000-0002-0000-1F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1F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FCF0B-844C-70FA-9A6A-F27AF7CF7C8D}">
  <sheetPr>
    <tabColor theme="9" tint="-0.249977111117893"/>
  </sheetPr>
  <dimension ref="A1:AE209"/>
  <sheetViews>
    <sheetView showGridLines="0" topLeftCell="D5" zoomScale="90" workbookViewId="0"/>
  </sheetViews>
  <sheetFormatPr defaultColWidth="9.140625" defaultRowHeight="11.25" customHeight="1"/>
  <cols>
    <col min="1" max="1" width="10.7109375" style="2011" hidden="1" customWidth="1"/>
    <col min="2" max="2" width="16.85546875" style="1931" hidden="1" customWidth="1"/>
    <col min="3" max="3" width="5.5703125" style="2010" hidden="1" customWidth="1"/>
    <col min="4" max="4" width="3.7109375" style="2017" customWidth="1"/>
    <col min="5" max="5" width="7.7109375" style="1908" customWidth="1"/>
    <col min="6" max="6" width="54.5703125" style="1908" customWidth="1"/>
    <col min="7" max="7" width="10.42578125" style="1908" customWidth="1"/>
    <col min="8" max="8" width="40.7109375" style="1908" hidden="1" customWidth="1"/>
    <col min="9" max="9" width="40.7109375" style="1908" customWidth="1"/>
    <col min="10" max="10" width="102.85546875" style="1908" customWidth="1"/>
    <col min="11" max="11" width="9.7109375" style="1931" customWidth="1"/>
    <col min="12" max="12" width="5.28515625" style="2010" customWidth="1"/>
    <col min="13" max="13" width="3.7109375" style="2010" customWidth="1"/>
    <col min="14" max="17" width="3.7109375" style="1931" customWidth="1"/>
    <col min="18" max="18" width="10.5703125" style="2010" customWidth="1"/>
    <col min="19" max="19" width="34.7109375" style="1931" customWidth="1"/>
    <col min="20" max="20" width="9.42578125" style="1931" customWidth="1"/>
    <col min="21" max="21" width="9.140625" style="2012"/>
    <col min="22" max="26" width="9.140625" style="1931"/>
    <col min="27" max="31" width="9.140625" style="1907"/>
  </cols>
  <sheetData>
    <row r="1" spans="1:31" s="1931" customFormat="1" ht="11.25" hidden="1" customHeight="1">
      <c r="A1" s="895"/>
      <c r="C1" s="1548"/>
      <c r="D1" s="462"/>
      <c r="H1" s="1060">
        <v>4</v>
      </c>
      <c r="I1" s="1060">
        <v>4</v>
      </c>
      <c r="L1" s="1548"/>
      <c r="M1" s="1548"/>
      <c r="R1" s="1548"/>
    </row>
    <row r="2" spans="1:31" s="1931" customFormat="1" ht="22.5" hidden="1" customHeight="1">
      <c r="A2" s="895"/>
      <c r="C2" s="1548"/>
      <c r="D2" s="463"/>
      <c r="E2" s="1569"/>
      <c r="F2" s="465"/>
      <c r="G2" s="1568" t="s">
        <v>536</v>
      </c>
      <c r="H2" s="466"/>
      <c r="I2" s="466"/>
      <c r="J2" s="467" t="s">
        <v>539</v>
      </c>
      <c r="K2" s="468"/>
      <c r="L2" s="1548"/>
      <c r="M2" s="1548"/>
      <c r="R2" s="1548"/>
      <c r="U2" s="469"/>
      <c r="AA2" s="1544"/>
      <c r="AB2" s="1544"/>
      <c r="AC2" s="1544"/>
      <c r="AD2" s="1544"/>
      <c r="AE2" s="1544"/>
    </row>
    <row r="3" spans="1:31" ht="11.25" hidden="1" customHeight="1"/>
    <row r="4" spans="1:31" s="1907" customFormat="1" ht="11.25" hidden="1" customHeight="1">
      <c r="A4" s="895"/>
      <c r="B4" s="1060"/>
      <c r="C4" s="1548"/>
      <c r="D4" s="289"/>
      <c r="J4" s="1544">
        <v>4</v>
      </c>
      <c r="K4" s="1060"/>
      <c r="L4" s="1548"/>
      <c r="M4" s="1548"/>
      <c r="N4" s="1060"/>
      <c r="O4" s="1060"/>
      <c r="P4" s="1060"/>
      <c r="Q4" s="1060"/>
      <c r="R4" s="1548"/>
      <c r="S4" s="1060"/>
      <c r="T4" s="1060"/>
      <c r="U4" s="469"/>
      <c r="V4" s="1060"/>
      <c r="W4" s="1060"/>
      <c r="X4" s="1060"/>
      <c r="Y4" s="1060"/>
      <c r="Z4" s="1060"/>
    </row>
    <row r="6" spans="1:31" ht="32.25" customHeight="1">
      <c r="E6" s="2254" t="s">
        <v>673</v>
      </c>
      <c r="F6" s="2254"/>
      <c r="G6" s="2254"/>
      <c r="H6" s="2254"/>
      <c r="I6" s="2254"/>
      <c r="J6" s="481"/>
    </row>
    <row r="7" spans="1:31" ht="24" customHeight="1">
      <c r="E7" s="2200" t="str">
        <f>IF(org=0,"Не определено",org)</f>
        <v>ПАО "Юнипро"</v>
      </c>
      <c r="F7" s="2200"/>
      <c r="G7" s="2200"/>
      <c r="H7" s="2200"/>
      <c r="I7" s="2200"/>
    </row>
    <row r="8" spans="1:31" ht="11.25" customHeight="1">
      <c r="E8" s="1037"/>
      <c r="F8" s="1037"/>
      <c r="G8" s="1037"/>
      <c r="H8" s="1037"/>
      <c r="I8" s="1037"/>
    </row>
    <row r="9" spans="1:31" s="2010" customFormat="1" ht="0.75" customHeight="1">
      <c r="A9" s="1067"/>
      <c r="D9" s="1553"/>
      <c r="H9" s="802"/>
      <c r="I9" s="802" t="s">
        <v>116</v>
      </c>
    </row>
    <row r="10" spans="1:31" ht="11.25" customHeight="1">
      <c r="E10" s="630"/>
      <c r="F10" s="2344" t="s">
        <v>104</v>
      </c>
      <c r="G10" s="2345"/>
      <c r="H10" s="1570" t="str">
        <f>IF(H9="","",INDEX(DIFFERENTIATION_UNMERGE_VD,MATCH(H9,DIFFERENTIATION_ID_DIFF,0)))</f>
        <v/>
      </c>
      <c r="I10" s="1570">
        <f>IF(I9="","",INDEX(DIFFERENTIATION_UNMERGE_VD,MATCH(I9,DIFFERENTIATION_ID_DIFF,0)))</f>
        <v>0</v>
      </c>
      <c r="J10" s="2143"/>
    </row>
    <row r="11" spans="1:31" ht="11.25" customHeight="1">
      <c r="E11" s="630"/>
      <c r="F11" s="2344" t="s">
        <v>548</v>
      </c>
      <c r="G11" s="2345"/>
      <c r="H11" s="1570" t="str">
        <f>IF(H9="","",INDEX(DIFFERENTIATION_UNMERGE_AREA,MATCH(H9,DIFFERENTIATION_ID_DIFF,0)))</f>
        <v/>
      </c>
      <c r="I11" s="1570" t="str">
        <f>IF(I9="","",INDEX(DIFFERENTIATION_UNMERGE_AREA,MATCH(I9,DIFFERENTIATION_ID_DIFF,0)))</f>
        <v/>
      </c>
      <c r="J11" s="2143"/>
    </row>
    <row r="12" spans="1:31" ht="11.25" hidden="1" customHeight="1">
      <c r="E12" s="1573"/>
      <c r="F12" s="2360" t="s">
        <v>549</v>
      </c>
      <c r="G12" s="2361"/>
      <c r="H12" s="1574" t="str">
        <f>IF(H9="","",INDEX(DIFFERENTIATION_UNMERGE_SYSTEM,MATCH(H9,DIFFERENTIATION_ID_DIFF,0)))</f>
        <v/>
      </c>
      <c r="I12" s="1574" t="str">
        <f>IF(I9="","",INDEX(DIFFERENTIATION_UNMERGE_SYSTEM,MATCH(I9,DIFFERENTIATION_ID_DIFF,0)))</f>
        <v>без дифференциации</v>
      </c>
      <c r="J12" s="2143"/>
    </row>
    <row r="13" spans="1:31" ht="11.25" customHeight="1">
      <c r="E13" s="2346" t="s">
        <v>289</v>
      </c>
      <c r="F13" s="2347"/>
      <c r="G13" s="2347"/>
      <c r="H13" s="1567"/>
      <c r="I13" s="1567"/>
      <c r="J13" s="2143"/>
    </row>
    <row r="14" spans="1:31" ht="22.5" customHeight="1">
      <c r="E14" s="1568" t="s">
        <v>87</v>
      </c>
      <c r="F14" s="1571" t="s">
        <v>291</v>
      </c>
      <c r="G14" s="1571" t="s">
        <v>550</v>
      </c>
      <c r="H14" s="1571" t="s">
        <v>292</v>
      </c>
      <c r="I14" s="1571" t="s">
        <v>292</v>
      </c>
      <c r="J14" s="2143"/>
    </row>
    <row r="15" spans="1:31" ht="18.75" customHeight="1">
      <c r="D15" s="1550"/>
      <c r="E15" s="1542" t="s">
        <v>108</v>
      </c>
      <c r="F15" s="626" t="s">
        <v>674</v>
      </c>
      <c r="G15" s="1568" t="s">
        <v>536</v>
      </c>
      <c r="H15" s="482"/>
      <c r="I15" s="482"/>
      <c r="J15" s="207" t="s">
        <v>675</v>
      </c>
      <c r="K15" s="468" t="s">
        <v>603</v>
      </c>
    </row>
    <row r="16" spans="1:31" ht="22.5" customHeight="1">
      <c r="D16" s="1550"/>
      <c r="E16" s="1542" t="s">
        <v>109</v>
      </c>
      <c r="F16" s="1576" t="s">
        <v>676</v>
      </c>
      <c r="G16" s="1568" t="s">
        <v>536</v>
      </c>
      <c r="H16" s="483">
        <f>SUM(H17,H20:H27)</f>
        <v>0</v>
      </c>
      <c r="I16" s="483">
        <f>SUM(I17,I20:I27)</f>
        <v>0</v>
      </c>
      <c r="J16" s="207" t="s">
        <v>677</v>
      </c>
      <c r="K16" s="468" t="s">
        <v>603</v>
      </c>
    </row>
    <row r="17" spans="1:31" ht="33.75" customHeight="1">
      <c r="D17" s="1550"/>
      <c r="E17" s="1575" t="s">
        <v>606</v>
      </c>
      <c r="F17" s="1578" t="s">
        <v>678</v>
      </c>
      <c r="G17" s="1565" t="s">
        <v>536</v>
      </c>
      <c r="H17" s="482"/>
      <c r="I17" s="482"/>
      <c r="J17" s="207" t="s">
        <v>679</v>
      </c>
      <c r="K17" s="468"/>
    </row>
    <row r="18" spans="1:31" ht="18.75" customHeight="1">
      <c r="D18" s="1550"/>
      <c r="E18" s="1575" t="s">
        <v>609</v>
      </c>
      <c r="F18" s="1579" t="s">
        <v>680</v>
      </c>
      <c r="G18" s="1565" t="s">
        <v>536</v>
      </c>
      <c r="H18" s="482"/>
      <c r="I18" s="482"/>
      <c r="J18" s="207"/>
      <c r="K18" s="468"/>
    </row>
    <row r="19" spans="1:31" ht="22.5" customHeight="1">
      <c r="D19" s="1550"/>
      <c r="E19" s="1575" t="s">
        <v>612</v>
      </c>
      <c r="F19" s="1579" t="s">
        <v>681</v>
      </c>
      <c r="G19" s="1565" t="s">
        <v>536</v>
      </c>
      <c r="H19" s="482"/>
      <c r="I19" s="482"/>
      <c r="J19" s="207"/>
      <c r="K19" s="468"/>
    </row>
    <row r="20" spans="1:31" ht="33.75" customHeight="1">
      <c r="D20" s="1550"/>
      <c r="E20" s="1575" t="s">
        <v>296</v>
      </c>
      <c r="F20" s="1578" t="s">
        <v>682</v>
      </c>
      <c r="G20" s="1565" t="s">
        <v>536</v>
      </c>
      <c r="H20" s="482"/>
      <c r="I20" s="482"/>
      <c r="J20" s="207"/>
      <c r="K20" s="468"/>
    </row>
    <row r="21" spans="1:31" ht="33.75" customHeight="1">
      <c r="D21" s="1550"/>
      <c r="E21" s="1575" t="s">
        <v>299</v>
      </c>
      <c r="F21" s="1578" t="s">
        <v>683</v>
      </c>
      <c r="G21" s="1565" t="s">
        <v>536</v>
      </c>
      <c r="H21" s="482"/>
      <c r="I21" s="482"/>
      <c r="J21" s="207"/>
      <c r="K21" s="468"/>
    </row>
    <row r="22" spans="1:31" ht="56.25" customHeight="1">
      <c r="D22" s="1550"/>
      <c r="E22" s="1575" t="s">
        <v>626</v>
      </c>
      <c r="F22" s="1578" t="s">
        <v>684</v>
      </c>
      <c r="G22" s="1565" t="s">
        <v>536</v>
      </c>
      <c r="H22" s="482"/>
      <c r="I22" s="482"/>
      <c r="J22" s="207"/>
      <c r="K22" s="468"/>
    </row>
    <row r="23" spans="1:31" ht="33.75" customHeight="1">
      <c r="D23" s="1550"/>
      <c r="E23" s="1575" t="s">
        <v>633</v>
      </c>
      <c r="F23" s="1578" t="s">
        <v>685</v>
      </c>
      <c r="G23" s="1565" t="s">
        <v>536</v>
      </c>
      <c r="H23" s="482"/>
      <c r="I23" s="482"/>
      <c r="J23" s="207"/>
      <c r="K23" s="468"/>
    </row>
    <row r="24" spans="1:31" ht="33.75" customHeight="1">
      <c r="D24" s="1550"/>
      <c r="E24" s="1575" t="s">
        <v>635</v>
      </c>
      <c r="F24" s="1578" t="s">
        <v>686</v>
      </c>
      <c r="G24" s="1565" t="s">
        <v>536</v>
      </c>
      <c r="H24" s="482"/>
      <c r="I24" s="482"/>
      <c r="J24" s="207"/>
      <c r="K24" s="468"/>
    </row>
    <row r="25" spans="1:31" ht="22.5" customHeight="1">
      <c r="D25" s="1550"/>
      <c r="E25" s="1575" t="s">
        <v>637</v>
      </c>
      <c r="F25" s="1578" t="s">
        <v>687</v>
      </c>
      <c r="G25" s="1565" t="s">
        <v>536</v>
      </c>
      <c r="H25" s="482"/>
      <c r="I25" s="482"/>
      <c r="J25" s="207"/>
      <c r="K25" s="468"/>
    </row>
    <row r="26" spans="1:31" ht="67.5" customHeight="1">
      <c r="D26" s="1550"/>
      <c r="E26" s="1575" t="s">
        <v>639</v>
      </c>
      <c r="F26" s="1578" t="s">
        <v>688</v>
      </c>
      <c r="G26" s="1565" t="s">
        <v>536</v>
      </c>
      <c r="H26" s="482"/>
      <c r="I26" s="482"/>
      <c r="J26" s="207"/>
      <c r="K26" s="468"/>
    </row>
    <row r="27" spans="1:31" s="1931" customFormat="1" ht="22.5" customHeight="1">
      <c r="A27" s="895"/>
      <c r="C27" s="1548"/>
      <c r="D27" s="1550"/>
      <c r="E27" s="1541" t="s">
        <v>643</v>
      </c>
      <c r="F27" s="1540" t="s">
        <v>689</v>
      </c>
      <c r="G27" s="1566" t="s">
        <v>536</v>
      </c>
      <c r="H27" s="504">
        <f>SUM(H28:H29)</f>
        <v>0</v>
      </c>
      <c r="I27" s="504">
        <f>SUM(I28:I29)</f>
        <v>0</v>
      </c>
      <c r="J27" s="207" t="s">
        <v>641</v>
      </c>
      <c r="K27" s="468"/>
      <c r="L27" s="1548"/>
      <c r="M27" s="1548"/>
      <c r="R27" s="1548"/>
      <c r="U27" s="469"/>
      <c r="AA27" s="1544"/>
      <c r="AB27" s="1544"/>
      <c r="AC27" s="1544"/>
      <c r="AD27" s="1544"/>
      <c r="AE27" s="1544"/>
    </row>
    <row r="28" spans="1:31" s="2010" customFormat="1" ht="0.75" customHeight="1">
      <c r="A28" s="1067"/>
      <c r="D28" s="473"/>
      <c r="E28" s="719" t="str">
        <f>E27&amp;".0"</f>
        <v>2.9.0</v>
      </c>
      <c r="F28" s="899"/>
      <c r="G28" s="476"/>
      <c r="H28" s="900"/>
      <c r="I28" s="900"/>
      <c r="J28" s="901"/>
    </row>
    <row r="29" spans="1:31" s="1931" customFormat="1" ht="18.75" customHeight="1">
      <c r="A29" s="895"/>
      <c r="C29" s="1548"/>
      <c r="D29" s="1545"/>
      <c r="E29" s="495"/>
      <c r="F29" s="1577" t="s">
        <v>561</v>
      </c>
      <c r="G29" s="497"/>
      <c r="H29" s="498"/>
      <c r="I29" s="498"/>
      <c r="J29" s="219" t="s">
        <v>642</v>
      </c>
      <c r="K29" s="468"/>
      <c r="L29" s="1548"/>
      <c r="M29" s="1548"/>
      <c r="R29" s="1548"/>
      <c r="U29" s="469"/>
      <c r="AA29" s="1544"/>
      <c r="AB29" s="1544"/>
      <c r="AC29" s="1544"/>
      <c r="AD29" s="1544"/>
      <c r="AE29" s="1544"/>
    </row>
    <row r="30" spans="1:31" s="1931" customFormat="1" ht="22.5" customHeight="1">
      <c r="A30" s="895"/>
      <c r="C30" s="1548"/>
      <c r="D30" s="1550"/>
      <c r="E30" s="1575" t="s">
        <v>89</v>
      </c>
      <c r="F30" s="1572" t="s">
        <v>690</v>
      </c>
      <c r="G30" s="1565" t="s">
        <v>536</v>
      </c>
      <c r="H30" s="482"/>
      <c r="I30" s="482"/>
      <c r="J30" s="207"/>
      <c r="K30" s="468"/>
      <c r="L30" s="1548"/>
      <c r="M30" s="1548"/>
      <c r="R30" s="1548"/>
      <c r="U30" s="469"/>
      <c r="AA30" s="1544"/>
      <c r="AB30" s="1544"/>
      <c r="AC30" s="1544"/>
      <c r="AD30" s="1544"/>
      <c r="AE30" s="1544"/>
    </row>
    <row r="31" spans="1:31" s="1931" customFormat="1" ht="33.75" customHeight="1">
      <c r="A31" s="895"/>
      <c r="C31" s="1548"/>
      <c r="D31" s="500"/>
      <c r="E31" s="1575" t="s">
        <v>90</v>
      </c>
      <c r="F31" s="1572" t="s">
        <v>691</v>
      </c>
      <c r="G31" s="1565" t="s">
        <v>536</v>
      </c>
      <c r="H31" s="482"/>
      <c r="I31" s="482"/>
      <c r="J31" s="207" t="s">
        <v>692</v>
      </c>
      <c r="K31" s="468"/>
      <c r="L31" s="1548"/>
      <c r="M31" s="1548"/>
      <c r="R31" s="1548"/>
      <c r="U31" s="469"/>
      <c r="AA31" s="1544"/>
      <c r="AB31" s="1544"/>
      <c r="AC31" s="1544"/>
      <c r="AD31" s="1544"/>
      <c r="AE31" s="1544"/>
    </row>
    <row r="32" spans="1:31" s="1931" customFormat="1" ht="22.5" customHeight="1">
      <c r="A32" s="895"/>
      <c r="C32" s="1548"/>
      <c r="D32" s="1550"/>
      <c r="E32" s="1575" t="s">
        <v>651</v>
      </c>
      <c r="F32" s="610" t="s">
        <v>655</v>
      </c>
      <c r="G32" s="1565" t="s">
        <v>536</v>
      </c>
      <c r="H32" s="482"/>
      <c r="I32" s="482"/>
      <c r="J32" s="207" t="s">
        <v>693</v>
      </c>
      <c r="K32" s="468"/>
      <c r="L32" s="1548"/>
      <c r="M32" s="1548"/>
      <c r="R32" s="1548"/>
      <c r="U32" s="469"/>
      <c r="AA32" s="1544"/>
      <c r="AB32" s="1544"/>
      <c r="AC32" s="1544"/>
      <c r="AD32" s="1544"/>
      <c r="AE32" s="1544"/>
    </row>
    <row r="33" spans="1:31" s="1931" customFormat="1" ht="22.5" customHeight="1">
      <c r="A33" s="895"/>
      <c r="C33" s="1548"/>
      <c r="D33" s="1550"/>
      <c r="E33" s="1575" t="s">
        <v>694</v>
      </c>
      <c r="F33" s="610" t="s">
        <v>695</v>
      </c>
      <c r="G33" s="1565" t="s">
        <v>536</v>
      </c>
      <c r="H33" s="482"/>
      <c r="I33" s="482"/>
      <c r="J33" s="207" t="s">
        <v>696</v>
      </c>
      <c r="K33" s="468"/>
      <c r="L33" s="1548"/>
      <c r="M33" s="1548"/>
      <c r="R33" s="1548"/>
      <c r="U33" s="469"/>
      <c r="AA33" s="1544"/>
      <c r="AB33" s="1544"/>
      <c r="AC33" s="1544"/>
      <c r="AD33" s="1544"/>
      <c r="AE33" s="1544"/>
    </row>
    <row r="34" spans="1:31" s="1931" customFormat="1" ht="22.5" customHeight="1">
      <c r="A34" s="895"/>
      <c r="C34" s="1548"/>
      <c r="D34" s="1550"/>
      <c r="E34" s="1575" t="s">
        <v>697</v>
      </c>
      <c r="F34" s="610" t="s">
        <v>661</v>
      </c>
      <c r="G34" s="1565" t="s">
        <v>536</v>
      </c>
      <c r="H34" s="482"/>
      <c r="I34" s="482"/>
      <c r="J34" s="207" t="s">
        <v>698</v>
      </c>
      <c r="K34" s="468"/>
      <c r="L34" s="1548"/>
      <c r="M34" s="1548"/>
      <c r="R34" s="1548"/>
      <c r="U34" s="469"/>
      <c r="AA34" s="1544"/>
      <c r="AB34" s="1544"/>
      <c r="AC34" s="1544"/>
      <c r="AD34" s="1544"/>
      <c r="AE34" s="1544"/>
    </row>
    <row r="35" spans="1:31" s="1931" customFormat="1" ht="33.75" customHeight="1">
      <c r="A35" s="895"/>
      <c r="C35" s="1548" t="s">
        <v>572</v>
      </c>
      <c r="D35" s="1550"/>
      <c r="E35" s="1575" t="s">
        <v>110</v>
      </c>
      <c r="F35" s="1572" t="s">
        <v>663</v>
      </c>
      <c r="G35" s="1568" t="s">
        <v>295</v>
      </c>
      <c r="H35" s="335"/>
      <c r="I35" s="335"/>
      <c r="J35" s="207" t="s">
        <v>699</v>
      </c>
      <c r="K35" s="468"/>
      <c r="L35" s="1548"/>
      <c r="M35" s="1548"/>
      <c r="R35" s="1548"/>
      <c r="U35" s="469"/>
      <c r="AA35" s="1544"/>
      <c r="AB35" s="1544"/>
      <c r="AC35" s="1544"/>
      <c r="AD35" s="1544"/>
      <c r="AE35" s="1544"/>
    </row>
    <row r="36" spans="1:31" s="1931" customFormat="1" ht="22.5" customHeight="1">
      <c r="A36" s="895"/>
      <c r="C36" s="1548"/>
      <c r="D36" s="1550"/>
      <c r="E36" s="1575" t="s">
        <v>91</v>
      </c>
      <c r="F36" s="1572" t="s">
        <v>700</v>
      </c>
      <c r="G36" s="1565" t="s">
        <v>667</v>
      </c>
      <c r="H36" s="470"/>
      <c r="I36" s="470"/>
      <c r="J36" s="207" t="s">
        <v>668</v>
      </c>
      <c r="K36" s="468"/>
      <c r="L36" s="1548"/>
      <c r="M36" s="1548"/>
      <c r="R36" s="1548"/>
      <c r="U36" s="469"/>
      <c r="AA36" s="1544"/>
      <c r="AB36" s="1544"/>
      <c r="AC36" s="1544"/>
      <c r="AD36" s="1544"/>
      <c r="AE36" s="1544"/>
    </row>
    <row r="37" spans="1:31" s="1931" customFormat="1" ht="22.5" customHeight="1">
      <c r="A37" s="895"/>
      <c r="C37" s="1548"/>
      <c r="D37" s="1550"/>
      <c r="E37" s="1575" t="s">
        <v>92</v>
      </c>
      <c r="F37" s="1572" t="s">
        <v>701</v>
      </c>
      <c r="G37" s="1565" t="s">
        <v>670</v>
      </c>
      <c r="H37" s="470"/>
      <c r="I37" s="470"/>
      <c r="J37" s="207" t="s">
        <v>671</v>
      </c>
      <c r="K37" s="468"/>
      <c r="L37" s="1548"/>
      <c r="M37" s="1548"/>
      <c r="R37" s="1548"/>
      <c r="U37" s="469"/>
      <c r="AA37" s="1544"/>
      <c r="AB37" s="1544"/>
      <c r="AC37" s="1544"/>
      <c r="AD37" s="1544"/>
      <c r="AE37" s="1544"/>
    </row>
    <row r="38" spans="1:31" ht="11.25" customHeight="1">
      <c r="D38" s="1550"/>
    </row>
    <row r="39" spans="1:31" ht="26.25" customHeight="1">
      <c r="D39" s="1550"/>
      <c r="E39" s="1164" t="s">
        <v>702</v>
      </c>
      <c r="F39" s="2290" t="s">
        <v>703</v>
      </c>
      <c r="G39" s="2290"/>
      <c r="H39" s="2290"/>
      <c r="I39" s="2290"/>
      <c r="J39" s="2290"/>
    </row>
    <row r="40" spans="1:31" s="2013" customFormat="1" ht="37.5" customHeight="1">
      <c r="A40" s="895"/>
      <c r="B40" s="1548"/>
      <c r="C40" s="1548"/>
      <c r="D40" s="276"/>
      <c r="F40" s="2290" t="s">
        <v>704</v>
      </c>
      <c r="G40" s="2290"/>
      <c r="H40" s="2290"/>
      <c r="I40" s="2290"/>
      <c r="J40" s="2290"/>
      <c r="K40" s="1060"/>
      <c r="L40" s="1548"/>
      <c r="M40" s="1548"/>
      <c r="N40" s="1060"/>
      <c r="O40" s="1060"/>
      <c r="P40" s="1060"/>
      <c r="Q40" s="1060"/>
      <c r="R40" s="1548"/>
      <c r="S40" s="1060"/>
      <c r="T40" s="1060"/>
      <c r="U40" s="469"/>
      <c r="V40" s="1060"/>
      <c r="W40" s="1060"/>
      <c r="X40" s="1060"/>
      <c r="Y40" s="1060"/>
      <c r="Z40" s="1060"/>
      <c r="AA40" s="1544"/>
      <c r="AB40" s="491"/>
      <c r="AC40" s="491"/>
      <c r="AD40" s="491"/>
      <c r="AE40" s="491"/>
    </row>
    <row r="41" spans="1:31" s="2013" customFormat="1" ht="11.25" customHeight="1">
      <c r="A41" s="895"/>
      <c r="B41" s="1548"/>
      <c r="C41" s="1548"/>
      <c r="D41" s="276"/>
      <c r="K41" s="1060"/>
      <c r="L41" s="1548"/>
      <c r="M41" s="1548"/>
      <c r="N41" s="1060"/>
      <c r="O41" s="1060"/>
      <c r="P41" s="1060"/>
      <c r="Q41" s="1060"/>
      <c r="R41" s="1548"/>
      <c r="S41" s="1060"/>
      <c r="T41" s="1060"/>
      <c r="U41" s="469"/>
      <c r="V41" s="1060"/>
      <c r="W41" s="1060"/>
      <c r="X41" s="1060"/>
      <c r="Y41" s="1060"/>
      <c r="Z41" s="1060"/>
      <c r="AA41" s="1544"/>
      <c r="AB41" s="491"/>
      <c r="AC41" s="491"/>
      <c r="AD41" s="491"/>
      <c r="AE41" s="491"/>
    </row>
    <row r="42" spans="1:31" s="2013" customFormat="1" ht="11.25" customHeight="1">
      <c r="A42" s="895"/>
      <c r="B42" s="1548"/>
      <c r="C42" s="1548"/>
      <c r="D42" s="276"/>
      <c r="K42" s="1060"/>
      <c r="L42" s="1548"/>
      <c r="M42" s="1548"/>
      <c r="N42" s="1060"/>
      <c r="O42" s="1060"/>
      <c r="P42" s="1060"/>
      <c r="Q42" s="1060"/>
      <c r="R42" s="1548"/>
      <c r="S42" s="1060"/>
      <c r="T42" s="1060"/>
      <c r="U42" s="469"/>
      <c r="V42" s="1060"/>
      <c r="W42" s="1060"/>
      <c r="X42" s="1060"/>
      <c r="Y42" s="1060"/>
      <c r="Z42" s="1060"/>
      <c r="AA42" s="1544"/>
      <c r="AB42" s="491"/>
      <c r="AC42" s="491"/>
      <c r="AD42" s="491"/>
      <c r="AE42" s="491"/>
    </row>
    <row r="43" spans="1:31" s="2013" customFormat="1" ht="11.25" customHeight="1">
      <c r="A43" s="895"/>
      <c r="B43" s="1548"/>
      <c r="C43" s="1548"/>
      <c r="D43" s="276"/>
      <c r="H43" s="491"/>
      <c r="I43" s="491"/>
      <c r="K43" s="1060"/>
      <c r="L43" s="1548"/>
      <c r="M43" s="1548"/>
      <c r="N43" s="1060"/>
      <c r="O43" s="1060"/>
      <c r="P43" s="1060"/>
      <c r="Q43" s="1060"/>
      <c r="R43" s="1548"/>
      <c r="S43" s="1060"/>
      <c r="T43" s="1060"/>
      <c r="U43" s="469"/>
      <c r="V43" s="1060"/>
      <c r="W43" s="1060"/>
      <c r="X43" s="1060"/>
      <c r="Y43" s="1060"/>
      <c r="Z43" s="1060"/>
      <c r="AA43" s="1544"/>
      <c r="AB43" s="491"/>
      <c r="AC43" s="491"/>
      <c r="AD43" s="491"/>
      <c r="AE43" s="491"/>
    </row>
    <row r="44" spans="1:31" s="2013" customFormat="1" ht="11.25" customHeight="1">
      <c r="A44" s="895"/>
      <c r="B44" s="1548"/>
      <c r="C44" s="1548"/>
      <c r="D44" s="276"/>
      <c r="K44" s="1060"/>
      <c r="L44" s="1548"/>
      <c r="M44" s="1548"/>
      <c r="N44" s="1060"/>
      <c r="O44" s="1060"/>
      <c r="P44" s="1060"/>
      <c r="Q44" s="1060"/>
      <c r="R44" s="1548"/>
      <c r="S44" s="1060"/>
      <c r="T44" s="1060"/>
      <c r="U44" s="469"/>
      <c r="V44" s="1060"/>
      <c r="W44" s="1060"/>
      <c r="X44" s="1060"/>
      <c r="Y44" s="1060"/>
      <c r="Z44" s="1060"/>
      <c r="AA44" s="1544"/>
      <c r="AB44" s="491"/>
      <c r="AC44" s="491"/>
      <c r="AD44" s="491"/>
      <c r="AE44" s="491"/>
    </row>
    <row r="45" spans="1:31" s="2013" customFormat="1" ht="11.25" customHeight="1">
      <c r="A45" s="895"/>
      <c r="B45" s="1548"/>
      <c r="C45" s="1548"/>
      <c r="D45" s="276"/>
      <c r="K45" s="1060"/>
      <c r="L45" s="1548"/>
      <c r="M45" s="1548"/>
      <c r="N45" s="1060"/>
      <c r="O45" s="1060"/>
      <c r="P45" s="1060"/>
      <c r="Q45" s="1060"/>
      <c r="R45" s="1548"/>
      <c r="S45" s="1060"/>
      <c r="T45" s="1060"/>
      <c r="U45" s="469"/>
      <c r="V45" s="1060"/>
      <c r="W45" s="1060"/>
      <c r="X45" s="1060"/>
      <c r="Y45" s="1060"/>
      <c r="Z45" s="1060"/>
      <c r="AA45" s="1544"/>
      <c r="AB45" s="491"/>
      <c r="AC45" s="491"/>
      <c r="AD45" s="491"/>
      <c r="AE45" s="491"/>
    </row>
    <row r="46" spans="1:31" s="2013" customFormat="1" ht="11.25" customHeight="1">
      <c r="A46" s="895"/>
      <c r="B46" s="1548"/>
      <c r="C46" s="1548"/>
      <c r="D46" s="276"/>
      <c r="K46" s="1060"/>
      <c r="L46" s="1548"/>
      <c r="M46" s="1548"/>
      <c r="N46" s="1060"/>
      <c r="O46" s="1060"/>
      <c r="P46" s="1060"/>
      <c r="Q46" s="1060"/>
      <c r="R46" s="1548"/>
      <c r="S46" s="1060"/>
      <c r="T46" s="1060"/>
      <c r="U46" s="469"/>
      <c r="V46" s="1060"/>
      <c r="W46" s="1060"/>
      <c r="X46" s="1060"/>
      <c r="Y46" s="1060"/>
      <c r="Z46" s="1060"/>
      <c r="AA46" s="1544"/>
      <c r="AB46" s="491"/>
      <c r="AC46" s="491"/>
      <c r="AD46" s="491"/>
      <c r="AE46" s="491"/>
    </row>
    <row r="47" spans="1:31" s="2013" customFormat="1" ht="11.25" customHeight="1">
      <c r="A47" s="895"/>
      <c r="B47" s="1548"/>
      <c r="C47" s="1548"/>
      <c r="D47" s="276"/>
      <c r="K47" s="1060"/>
      <c r="L47" s="1548"/>
      <c r="M47" s="1548"/>
      <c r="N47" s="1060"/>
      <c r="O47" s="1060"/>
      <c r="P47" s="1060"/>
      <c r="Q47" s="1060"/>
      <c r="R47" s="1548"/>
      <c r="S47" s="1060"/>
      <c r="T47" s="1060"/>
      <c r="U47" s="469"/>
      <c r="V47" s="1060"/>
      <c r="W47" s="1060"/>
      <c r="X47" s="1060"/>
      <c r="Y47" s="1060"/>
      <c r="Z47" s="1060"/>
      <c r="AA47" s="1544"/>
      <c r="AB47" s="491"/>
      <c r="AC47" s="491"/>
      <c r="AD47" s="491"/>
      <c r="AE47" s="491"/>
    </row>
    <row r="48" spans="1:31" s="2013" customFormat="1" ht="11.25" customHeight="1">
      <c r="A48" s="895"/>
      <c r="B48" s="1548"/>
      <c r="C48" s="1548"/>
      <c r="D48" s="276"/>
      <c r="K48" s="1060"/>
      <c r="L48" s="1548"/>
      <c r="M48" s="1548"/>
      <c r="N48" s="1060"/>
      <c r="O48" s="1060"/>
      <c r="P48" s="1060"/>
      <c r="Q48" s="1060"/>
      <c r="R48" s="1548"/>
      <c r="S48" s="1060"/>
      <c r="T48" s="1060"/>
      <c r="U48" s="469"/>
      <c r="V48" s="1060"/>
      <c r="W48" s="1060"/>
      <c r="X48" s="1060"/>
      <c r="Y48" s="1060"/>
      <c r="Z48" s="1060"/>
      <c r="AA48" s="1544"/>
      <c r="AB48" s="491"/>
      <c r="AC48" s="491"/>
      <c r="AD48" s="491"/>
      <c r="AE48" s="491"/>
    </row>
    <row r="49" spans="1:31" s="2013" customFormat="1" ht="11.25" customHeight="1">
      <c r="A49" s="895"/>
      <c r="B49" s="1548"/>
      <c r="C49" s="1548"/>
      <c r="D49" s="276"/>
      <c r="K49" s="1060"/>
      <c r="L49" s="1548"/>
      <c r="M49" s="1548"/>
      <c r="N49" s="1060"/>
      <c r="O49" s="1060"/>
      <c r="P49" s="1060"/>
      <c r="Q49" s="1060"/>
      <c r="R49" s="1548"/>
      <c r="S49" s="1060"/>
      <c r="T49" s="1060"/>
      <c r="U49" s="469"/>
      <c r="V49" s="1060"/>
      <c r="W49" s="1060"/>
      <c r="X49" s="1060"/>
      <c r="Y49" s="1060"/>
      <c r="Z49" s="1060"/>
      <c r="AA49" s="1544"/>
      <c r="AB49" s="491"/>
      <c r="AC49" s="491"/>
      <c r="AD49" s="491"/>
      <c r="AE49" s="491"/>
    </row>
    <row r="50" spans="1:31" s="2013" customFormat="1" ht="11.25" customHeight="1">
      <c r="A50" s="895"/>
      <c r="B50" s="1548"/>
      <c r="C50" s="1548"/>
      <c r="D50" s="276"/>
      <c r="K50" s="1060"/>
      <c r="L50" s="1548"/>
      <c r="M50" s="1548"/>
      <c r="N50" s="1060"/>
      <c r="O50" s="1060"/>
      <c r="P50" s="1060"/>
      <c r="Q50" s="1060"/>
      <c r="R50" s="1548"/>
      <c r="S50" s="1060"/>
      <c r="T50" s="1060"/>
      <c r="U50" s="469"/>
      <c r="V50" s="1060"/>
      <c r="W50" s="1060"/>
      <c r="X50" s="1060"/>
      <c r="Y50" s="1060"/>
      <c r="Z50" s="1060"/>
      <c r="AA50" s="1544"/>
      <c r="AB50" s="491"/>
      <c r="AC50" s="491"/>
      <c r="AD50" s="491"/>
      <c r="AE50" s="491"/>
    </row>
    <row r="51" spans="1:31" s="2013" customFormat="1" ht="11.25" customHeight="1">
      <c r="A51" s="895"/>
      <c r="B51" s="1548"/>
      <c r="C51" s="1548"/>
      <c r="D51" s="276"/>
      <c r="K51" s="1060"/>
      <c r="L51" s="1548"/>
      <c r="M51" s="1548"/>
      <c r="N51" s="1060"/>
      <c r="O51" s="1060"/>
      <c r="P51" s="1060"/>
      <c r="Q51" s="1060"/>
      <c r="R51" s="1548"/>
      <c r="S51" s="1060"/>
      <c r="T51" s="1060"/>
      <c r="U51" s="469"/>
      <c r="V51" s="1060"/>
      <c r="W51" s="1060"/>
      <c r="X51" s="1060"/>
      <c r="Y51" s="1060"/>
      <c r="Z51" s="1060"/>
      <c r="AA51" s="1544"/>
      <c r="AB51" s="491"/>
      <c r="AC51" s="491"/>
      <c r="AD51" s="491"/>
      <c r="AE51" s="491"/>
    </row>
    <row r="52" spans="1:31" s="2013" customFormat="1" ht="11.25" customHeight="1">
      <c r="A52" s="895"/>
      <c r="B52" s="1548"/>
      <c r="C52" s="1548"/>
      <c r="D52" s="276"/>
      <c r="K52" s="1060"/>
      <c r="L52" s="1548"/>
      <c r="M52" s="1548"/>
      <c r="N52" s="1060"/>
      <c r="O52" s="1060"/>
      <c r="P52" s="1060"/>
      <c r="Q52" s="1060"/>
      <c r="R52" s="1548"/>
      <c r="S52" s="1060"/>
      <c r="T52" s="1060"/>
      <c r="U52" s="469"/>
      <c r="V52" s="1060"/>
      <c r="W52" s="1060"/>
      <c r="X52" s="1060"/>
      <c r="Y52" s="1060"/>
      <c r="Z52" s="1060"/>
      <c r="AA52" s="1544"/>
      <c r="AB52" s="491"/>
      <c r="AC52" s="491"/>
      <c r="AD52" s="491"/>
      <c r="AE52" s="491"/>
    </row>
    <row r="53" spans="1:31" s="2013" customFormat="1" ht="11.25" customHeight="1">
      <c r="A53" s="895"/>
      <c r="B53" s="1548"/>
      <c r="C53" s="1548"/>
      <c r="D53" s="276"/>
      <c r="K53" s="1060"/>
      <c r="L53" s="1548"/>
      <c r="M53" s="1548"/>
      <c r="N53" s="1060"/>
      <c r="O53" s="1060"/>
      <c r="P53" s="1060"/>
      <c r="Q53" s="1060"/>
      <c r="R53" s="1548"/>
      <c r="S53" s="1060"/>
      <c r="T53" s="1060"/>
      <c r="U53" s="469"/>
      <c r="V53" s="1060"/>
      <c r="W53" s="1060"/>
      <c r="X53" s="1060"/>
      <c r="Y53" s="1060"/>
      <c r="Z53" s="1060"/>
      <c r="AA53" s="1544"/>
      <c r="AB53" s="491"/>
      <c r="AC53" s="491"/>
      <c r="AD53" s="491"/>
      <c r="AE53" s="491"/>
    </row>
    <row r="54" spans="1:31" s="2013" customFormat="1" ht="11.25" customHeight="1">
      <c r="A54" s="895"/>
      <c r="B54" s="1548"/>
      <c r="C54" s="1548"/>
      <c r="D54" s="276"/>
      <c r="K54" s="1060"/>
      <c r="L54" s="1548"/>
      <c r="M54" s="1548"/>
      <c r="N54" s="1060"/>
      <c r="O54" s="1060"/>
      <c r="P54" s="1060"/>
      <c r="Q54" s="1060"/>
      <c r="R54" s="1548"/>
      <c r="S54" s="1060"/>
      <c r="T54" s="1060"/>
      <c r="U54" s="469"/>
      <c r="V54" s="1060"/>
      <c r="W54" s="1060"/>
      <c r="X54" s="1060"/>
      <c r="Y54" s="1060"/>
      <c r="Z54" s="1060"/>
      <c r="AA54" s="1544"/>
      <c r="AB54" s="491"/>
      <c r="AC54" s="491"/>
      <c r="AD54" s="491"/>
      <c r="AE54" s="491"/>
    </row>
    <row r="55" spans="1:31" s="2013" customFormat="1" ht="11.25" customHeight="1">
      <c r="A55" s="895"/>
      <c r="B55" s="1548"/>
      <c r="C55" s="1548"/>
      <c r="D55" s="276"/>
      <c r="K55" s="1060"/>
      <c r="L55" s="1548"/>
      <c r="M55" s="1548"/>
      <c r="N55" s="1060"/>
      <c r="O55" s="1060"/>
      <c r="P55" s="1060"/>
      <c r="Q55" s="1060"/>
      <c r="R55" s="1548"/>
      <c r="S55" s="1060"/>
      <c r="T55" s="1060"/>
      <c r="U55" s="469"/>
      <c r="V55" s="1060"/>
      <c r="W55" s="1060"/>
      <c r="X55" s="1060"/>
      <c r="Y55" s="1060"/>
      <c r="Z55" s="1060"/>
      <c r="AA55" s="1544"/>
      <c r="AB55" s="491"/>
      <c r="AC55" s="491"/>
      <c r="AD55" s="491"/>
      <c r="AE55" s="491"/>
    </row>
    <row r="56" spans="1:31" s="2013" customFormat="1" ht="11.25" customHeight="1">
      <c r="A56" s="895"/>
      <c r="B56" s="1548"/>
      <c r="C56" s="1548"/>
      <c r="D56" s="276"/>
      <c r="K56" s="1060"/>
      <c r="L56" s="1548"/>
      <c r="M56" s="1548"/>
      <c r="N56" s="1060"/>
      <c r="O56" s="1060"/>
      <c r="P56" s="1060"/>
      <c r="Q56" s="1060"/>
      <c r="R56" s="1548"/>
      <c r="S56" s="1060"/>
      <c r="T56" s="1060"/>
      <c r="U56" s="469"/>
      <c r="V56" s="1060"/>
      <c r="W56" s="1060"/>
      <c r="X56" s="1060"/>
      <c r="Y56" s="1060"/>
      <c r="Z56" s="1060"/>
      <c r="AA56" s="1544"/>
      <c r="AB56" s="491"/>
      <c r="AC56" s="491"/>
      <c r="AD56" s="491"/>
      <c r="AE56" s="491"/>
    </row>
    <row r="57" spans="1:31" s="2013" customFormat="1" ht="11.25" customHeight="1">
      <c r="A57" s="895"/>
      <c r="B57" s="1548"/>
      <c r="C57" s="1548"/>
      <c r="D57" s="276"/>
      <c r="K57" s="1060"/>
      <c r="L57" s="1548"/>
      <c r="M57" s="1548"/>
      <c r="N57" s="1060"/>
      <c r="O57" s="1060"/>
      <c r="P57" s="1060"/>
      <c r="Q57" s="1060"/>
      <c r="R57" s="1548"/>
      <c r="S57" s="1060"/>
      <c r="T57" s="1060"/>
      <c r="U57" s="469"/>
      <c r="V57" s="1060"/>
      <c r="W57" s="1060"/>
      <c r="X57" s="1060"/>
      <c r="Y57" s="1060"/>
      <c r="Z57" s="1060"/>
      <c r="AA57" s="1544"/>
      <c r="AB57" s="491"/>
      <c r="AC57" s="491"/>
      <c r="AD57" s="491"/>
      <c r="AE57" s="491"/>
    </row>
    <row r="58" spans="1:31" s="2013" customFormat="1" ht="11.25" customHeight="1">
      <c r="A58" s="895"/>
      <c r="B58" s="1548"/>
      <c r="C58" s="1548"/>
      <c r="D58" s="276"/>
      <c r="K58" s="1060"/>
      <c r="L58" s="1548"/>
      <c r="M58" s="1548"/>
      <c r="N58" s="1060"/>
      <c r="O58" s="1060"/>
      <c r="P58" s="1060"/>
      <c r="Q58" s="1060"/>
      <c r="R58" s="1548"/>
      <c r="S58" s="1060"/>
      <c r="T58" s="1060"/>
      <c r="U58" s="469"/>
      <c r="V58" s="1060"/>
      <c r="W58" s="1060"/>
      <c r="X58" s="1060"/>
      <c r="Y58" s="1060"/>
      <c r="Z58" s="1060"/>
      <c r="AA58" s="1544"/>
      <c r="AB58" s="491"/>
      <c r="AC58" s="491"/>
      <c r="AD58" s="491"/>
      <c r="AE58" s="491"/>
    </row>
    <row r="59" spans="1:31" s="2013" customFormat="1" ht="11.25" customHeight="1">
      <c r="A59" s="895"/>
      <c r="B59" s="1548"/>
      <c r="C59" s="1548"/>
      <c r="D59" s="276"/>
      <c r="K59" s="1060"/>
      <c r="L59" s="1548"/>
      <c r="M59" s="1548"/>
      <c r="N59" s="1060"/>
      <c r="O59" s="1060"/>
      <c r="P59" s="1060"/>
      <c r="Q59" s="1060"/>
      <c r="R59" s="1548"/>
      <c r="S59" s="1060"/>
      <c r="T59" s="1060"/>
      <c r="U59" s="469"/>
      <c r="V59" s="1060"/>
      <c r="W59" s="1060"/>
      <c r="X59" s="1060"/>
      <c r="Y59" s="1060"/>
      <c r="Z59" s="1060"/>
      <c r="AA59" s="1544"/>
      <c r="AB59" s="491"/>
      <c r="AC59" s="491"/>
      <c r="AD59" s="491"/>
      <c r="AE59" s="491"/>
    </row>
    <row r="60" spans="1:31" s="2013" customFormat="1" ht="11.25" customHeight="1">
      <c r="A60" s="895"/>
      <c r="B60" s="1548"/>
      <c r="C60" s="1548"/>
      <c r="D60" s="276"/>
      <c r="K60" s="1060"/>
      <c r="L60" s="1548"/>
      <c r="M60" s="1548"/>
      <c r="N60" s="1060"/>
      <c r="O60" s="1060"/>
      <c r="P60" s="1060"/>
      <c r="Q60" s="1060"/>
      <c r="R60" s="1548"/>
      <c r="S60" s="1060"/>
      <c r="T60" s="1060"/>
      <c r="U60" s="469"/>
      <c r="V60" s="1060"/>
      <c r="W60" s="1060"/>
      <c r="X60" s="1060"/>
      <c r="Y60" s="1060"/>
      <c r="Z60" s="1060"/>
      <c r="AA60" s="1544"/>
      <c r="AB60" s="491"/>
      <c r="AC60" s="491"/>
      <c r="AD60" s="491"/>
      <c r="AE60" s="491"/>
    </row>
    <row r="61" spans="1:31" s="2013" customFormat="1" ht="11.25" customHeight="1">
      <c r="A61" s="895"/>
      <c r="B61" s="1548"/>
      <c r="C61" s="1548"/>
      <c r="D61" s="276"/>
      <c r="K61" s="1060"/>
      <c r="L61" s="1548"/>
      <c r="M61" s="1548"/>
      <c r="N61" s="1060"/>
      <c r="O61" s="1060"/>
      <c r="P61" s="1060"/>
      <c r="Q61" s="1060"/>
      <c r="R61" s="1548"/>
      <c r="S61" s="1060"/>
      <c r="T61" s="1060"/>
      <c r="U61" s="469"/>
      <c r="V61" s="1060"/>
      <c r="W61" s="1060"/>
      <c r="X61" s="1060"/>
      <c r="Y61" s="1060"/>
      <c r="Z61" s="1060"/>
      <c r="AA61" s="1544"/>
      <c r="AB61" s="491"/>
      <c r="AC61" s="491"/>
      <c r="AD61" s="491"/>
      <c r="AE61" s="491"/>
    </row>
    <row r="62" spans="1:31" s="2013" customFormat="1" ht="11.25" customHeight="1">
      <c r="A62" s="895"/>
      <c r="B62" s="1548"/>
      <c r="C62" s="1548"/>
      <c r="D62" s="276"/>
      <c r="K62" s="1060"/>
      <c r="L62" s="1548"/>
      <c r="M62" s="1548"/>
      <c r="N62" s="1060"/>
      <c r="O62" s="1060"/>
      <c r="P62" s="1060"/>
      <c r="Q62" s="1060"/>
      <c r="R62" s="1548"/>
      <c r="S62" s="1060"/>
      <c r="T62" s="1060"/>
      <c r="U62" s="469"/>
      <c r="V62" s="1060"/>
      <c r="W62" s="1060"/>
      <c r="X62" s="1060"/>
      <c r="Y62" s="1060"/>
      <c r="Z62" s="1060"/>
      <c r="AA62" s="1544"/>
      <c r="AB62" s="491"/>
      <c r="AC62" s="491"/>
      <c r="AD62" s="491"/>
      <c r="AE62" s="491"/>
    </row>
    <row r="63" spans="1:31" s="2013" customFormat="1" ht="11.25" customHeight="1">
      <c r="A63" s="895"/>
      <c r="B63" s="1548"/>
      <c r="C63" s="1548"/>
      <c r="D63" s="276"/>
      <c r="K63" s="1060"/>
      <c r="L63" s="1548"/>
      <c r="M63" s="1548"/>
      <c r="N63" s="1060"/>
      <c r="O63" s="1060"/>
      <c r="P63" s="1060"/>
      <c r="Q63" s="1060"/>
      <c r="R63" s="1548"/>
      <c r="S63" s="1060"/>
      <c r="T63" s="1060"/>
      <c r="U63" s="469"/>
      <c r="V63" s="1060"/>
      <c r="W63" s="1060"/>
      <c r="X63" s="1060"/>
      <c r="Y63" s="1060"/>
      <c r="Z63" s="1060"/>
      <c r="AA63" s="1544"/>
      <c r="AB63" s="491"/>
      <c r="AC63" s="491"/>
      <c r="AD63" s="491"/>
      <c r="AE63" s="491"/>
    </row>
    <row r="64" spans="1:31" s="2013" customFormat="1" ht="11.25" customHeight="1">
      <c r="A64" s="895"/>
      <c r="B64" s="1548"/>
      <c r="C64" s="1548"/>
      <c r="D64" s="276"/>
      <c r="K64" s="1060"/>
      <c r="L64" s="1548"/>
      <c r="M64" s="1548"/>
      <c r="N64" s="1060"/>
      <c r="O64" s="1060"/>
      <c r="P64" s="1060"/>
      <c r="Q64" s="1060"/>
      <c r="R64" s="1548"/>
      <c r="S64" s="1060"/>
      <c r="T64" s="1060"/>
      <c r="U64" s="469"/>
      <c r="V64" s="1060"/>
      <c r="W64" s="1060"/>
      <c r="X64" s="1060"/>
      <c r="Y64" s="1060"/>
      <c r="Z64" s="1060"/>
      <c r="AA64" s="1544"/>
      <c r="AB64" s="491"/>
      <c r="AC64" s="491"/>
      <c r="AD64" s="491"/>
      <c r="AE64" s="491"/>
    </row>
    <row r="65" spans="1:31" s="2013" customFormat="1" ht="11.25" customHeight="1">
      <c r="A65" s="895"/>
      <c r="B65" s="1548"/>
      <c r="C65" s="1548"/>
      <c r="D65" s="276"/>
      <c r="K65" s="1060"/>
      <c r="L65" s="1548"/>
      <c r="M65" s="1548"/>
      <c r="N65" s="1060"/>
      <c r="O65" s="1060"/>
      <c r="P65" s="1060"/>
      <c r="Q65" s="1060"/>
      <c r="R65" s="1548"/>
      <c r="S65" s="1060"/>
      <c r="T65" s="1060"/>
      <c r="U65" s="469"/>
      <c r="V65" s="1060"/>
      <c r="W65" s="1060"/>
      <c r="X65" s="1060"/>
      <c r="Y65" s="1060"/>
      <c r="Z65" s="1060"/>
      <c r="AA65" s="1544"/>
      <c r="AB65" s="491"/>
      <c r="AC65" s="491"/>
      <c r="AD65" s="491"/>
      <c r="AE65" s="491"/>
    </row>
    <row r="66" spans="1:31" s="2013" customFormat="1" ht="11.25" customHeight="1">
      <c r="A66" s="895"/>
      <c r="B66" s="1548"/>
      <c r="C66" s="1548"/>
      <c r="D66" s="276"/>
      <c r="K66" s="1060"/>
      <c r="L66" s="1548"/>
      <c r="M66" s="1548"/>
      <c r="N66" s="1060"/>
      <c r="O66" s="1060"/>
      <c r="P66" s="1060"/>
      <c r="Q66" s="1060"/>
      <c r="R66" s="1548"/>
      <c r="S66" s="1060"/>
      <c r="T66" s="1060"/>
      <c r="U66" s="469"/>
      <c r="V66" s="1060"/>
      <c r="W66" s="1060"/>
      <c r="X66" s="1060"/>
      <c r="Y66" s="1060"/>
      <c r="Z66" s="1060"/>
      <c r="AA66" s="1544"/>
      <c r="AB66" s="491"/>
      <c r="AC66" s="491"/>
      <c r="AD66" s="491"/>
      <c r="AE66" s="491"/>
    </row>
    <row r="67" spans="1:31" s="2013" customFormat="1" ht="11.25" customHeight="1">
      <c r="A67" s="895"/>
      <c r="B67" s="1548"/>
      <c r="C67" s="1548"/>
      <c r="D67" s="276"/>
      <c r="K67" s="1060"/>
      <c r="L67" s="1548"/>
      <c r="M67" s="1548"/>
      <c r="N67" s="1060"/>
      <c r="O67" s="1060"/>
      <c r="P67" s="1060"/>
      <c r="Q67" s="1060"/>
      <c r="R67" s="1548"/>
      <c r="S67" s="1060"/>
      <c r="T67" s="1060"/>
      <c r="U67" s="469"/>
      <c r="V67" s="1060"/>
      <c r="W67" s="1060"/>
      <c r="X67" s="1060"/>
      <c r="Y67" s="1060"/>
      <c r="Z67" s="1060"/>
      <c r="AA67" s="1544"/>
      <c r="AB67" s="491"/>
      <c r="AC67" s="491"/>
      <c r="AD67" s="491"/>
      <c r="AE67" s="491"/>
    </row>
    <row r="68" spans="1:31" s="2013" customFormat="1" ht="11.25" customHeight="1">
      <c r="A68" s="895"/>
      <c r="B68" s="1548"/>
      <c r="C68" s="1548"/>
      <c r="D68" s="276"/>
      <c r="K68" s="1060"/>
      <c r="L68" s="1548"/>
      <c r="M68" s="1548"/>
      <c r="N68" s="1060"/>
      <c r="O68" s="1060"/>
      <c r="P68" s="1060"/>
      <c r="Q68" s="1060"/>
      <c r="R68" s="1548"/>
      <c r="S68" s="1060"/>
      <c r="T68" s="1060"/>
      <c r="U68" s="469"/>
      <c r="V68" s="1060"/>
      <c r="W68" s="1060"/>
      <c r="X68" s="1060"/>
      <c r="Y68" s="1060"/>
      <c r="Z68" s="1060"/>
      <c r="AA68" s="1544"/>
      <c r="AB68" s="491"/>
      <c r="AC68" s="491"/>
      <c r="AD68" s="491"/>
      <c r="AE68" s="491"/>
    </row>
    <row r="69" spans="1:31" s="2013" customFormat="1" ht="11.25" customHeight="1">
      <c r="A69" s="895"/>
      <c r="B69" s="1548"/>
      <c r="C69" s="1548"/>
      <c r="D69" s="276"/>
      <c r="K69" s="1060"/>
      <c r="L69" s="1548"/>
      <c r="M69" s="1548"/>
      <c r="N69" s="1060"/>
      <c r="O69" s="1060"/>
      <c r="P69" s="1060"/>
      <c r="Q69" s="1060"/>
      <c r="R69" s="1548"/>
      <c r="S69" s="1060"/>
      <c r="T69" s="1060"/>
      <c r="U69" s="469"/>
      <c r="V69" s="1060"/>
      <c r="W69" s="1060"/>
      <c r="X69" s="1060"/>
      <c r="Y69" s="1060"/>
      <c r="Z69" s="1060"/>
      <c r="AA69" s="1544"/>
      <c r="AB69" s="491"/>
      <c r="AC69" s="491"/>
      <c r="AD69" s="491"/>
      <c r="AE69" s="491"/>
    </row>
    <row r="70" spans="1:31" s="2013" customFormat="1" ht="11.25" customHeight="1">
      <c r="A70" s="895"/>
      <c r="B70" s="1548"/>
      <c r="C70" s="1548"/>
      <c r="D70" s="276"/>
      <c r="K70" s="1060"/>
      <c r="L70" s="1548"/>
      <c r="M70" s="1548"/>
      <c r="N70" s="1060"/>
      <c r="O70" s="1060"/>
      <c r="P70" s="1060"/>
      <c r="Q70" s="1060"/>
      <c r="R70" s="1548"/>
      <c r="S70" s="1060"/>
      <c r="T70" s="1060"/>
      <c r="U70" s="469"/>
      <c r="V70" s="1060"/>
      <c r="W70" s="1060"/>
      <c r="X70" s="1060"/>
      <c r="Y70" s="1060"/>
      <c r="Z70" s="1060"/>
      <c r="AA70" s="1544"/>
      <c r="AB70" s="491"/>
      <c r="AC70" s="491"/>
      <c r="AD70" s="491"/>
      <c r="AE70" s="491"/>
    </row>
    <row r="71" spans="1:31" s="2013" customFormat="1" ht="11.25" customHeight="1">
      <c r="A71" s="895"/>
      <c r="B71" s="1548"/>
      <c r="C71" s="1548"/>
      <c r="D71" s="276"/>
      <c r="K71" s="1060"/>
      <c r="L71" s="1548"/>
      <c r="M71" s="1548"/>
      <c r="N71" s="1060"/>
      <c r="O71" s="1060"/>
      <c r="P71" s="1060"/>
      <c r="Q71" s="1060"/>
      <c r="R71" s="1548"/>
      <c r="S71" s="1060"/>
      <c r="T71" s="1060"/>
      <c r="U71" s="469"/>
      <c r="V71" s="1060"/>
      <c r="W71" s="1060"/>
      <c r="X71" s="1060"/>
      <c r="Y71" s="1060"/>
      <c r="Z71" s="1060"/>
      <c r="AA71" s="1544"/>
      <c r="AB71" s="491"/>
      <c r="AC71" s="491"/>
      <c r="AD71" s="491"/>
      <c r="AE71" s="491"/>
    </row>
    <row r="72" spans="1:31" s="2013" customFormat="1" ht="11.25" customHeight="1">
      <c r="A72" s="895"/>
      <c r="B72" s="1548"/>
      <c r="C72" s="1548"/>
      <c r="D72" s="276"/>
      <c r="K72" s="1060"/>
      <c r="L72" s="1548"/>
      <c r="M72" s="1548"/>
      <c r="N72" s="1060"/>
      <c r="O72" s="1060"/>
      <c r="P72" s="1060"/>
      <c r="Q72" s="1060"/>
      <c r="R72" s="1548"/>
      <c r="S72" s="1060"/>
      <c r="T72" s="1060"/>
      <c r="U72" s="469"/>
      <c r="V72" s="1060"/>
      <c r="W72" s="1060"/>
      <c r="X72" s="1060"/>
      <c r="Y72" s="1060"/>
      <c r="Z72" s="1060"/>
      <c r="AA72" s="1544"/>
      <c r="AB72" s="491"/>
      <c r="AC72" s="491"/>
      <c r="AD72" s="491"/>
      <c r="AE72" s="491"/>
    </row>
    <row r="73" spans="1:31" s="2013" customFormat="1" ht="11.25" customHeight="1">
      <c r="A73" s="895"/>
      <c r="B73" s="1548"/>
      <c r="C73" s="1548"/>
      <c r="D73" s="276"/>
      <c r="K73" s="1060"/>
      <c r="L73" s="1548"/>
      <c r="M73" s="1548"/>
      <c r="N73" s="1060"/>
      <c r="O73" s="1060"/>
      <c r="P73" s="1060"/>
      <c r="Q73" s="1060"/>
      <c r="R73" s="1548"/>
      <c r="S73" s="1060"/>
      <c r="T73" s="1060"/>
      <c r="U73" s="469"/>
      <c r="V73" s="1060"/>
      <c r="W73" s="1060"/>
      <c r="X73" s="1060"/>
      <c r="Y73" s="1060"/>
      <c r="Z73" s="1060"/>
      <c r="AA73" s="1544"/>
      <c r="AB73" s="491"/>
      <c r="AC73" s="491"/>
      <c r="AD73" s="491"/>
      <c r="AE73" s="491"/>
    </row>
    <row r="74" spans="1:31" s="2013" customFormat="1" ht="11.25" customHeight="1">
      <c r="A74" s="895"/>
      <c r="B74" s="1548"/>
      <c r="C74" s="1548"/>
      <c r="D74" s="276"/>
      <c r="K74" s="1060"/>
      <c r="L74" s="1548"/>
      <c r="M74" s="1548"/>
      <c r="N74" s="1060"/>
      <c r="O74" s="1060"/>
      <c r="P74" s="1060"/>
      <c r="Q74" s="1060"/>
      <c r="R74" s="1548"/>
      <c r="S74" s="1060"/>
      <c r="T74" s="1060"/>
      <c r="U74" s="469"/>
      <c r="V74" s="1060"/>
      <c r="W74" s="1060"/>
      <c r="X74" s="1060"/>
      <c r="Y74" s="1060"/>
      <c r="Z74" s="1060"/>
      <c r="AA74" s="1544"/>
      <c r="AB74" s="491"/>
      <c r="AC74" s="491"/>
      <c r="AD74" s="491"/>
      <c r="AE74" s="491"/>
    </row>
    <row r="75" spans="1:31" s="2013" customFormat="1" ht="11.25" customHeight="1">
      <c r="A75" s="895"/>
      <c r="B75" s="1548"/>
      <c r="C75" s="1548"/>
      <c r="D75" s="276"/>
      <c r="K75" s="1060"/>
      <c r="L75" s="1548"/>
      <c r="M75" s="1548"/>
      <c r="N75" s="1060"/>
      <c r="O75" s="1060"/>
      <c r="P75" s="1060"/>
      <c r="Q75" s="1060"/>
      <c r="R75" s="1548"/>
      <c r="S75" s="1060"/>
      <c r="T75" s="1060"/>
      <c r="U75" s="469"/>
      <c r="V75" s="1060"/>
      <c r="W75" s="1060"/>
      <c r="X75" s="1060"/>
      <c r="Y75" s="1060"/>
      <c r="Z75" s="1060"/>
      <c r="AA75" s="1544"/>
      <c r="AB75" s="491"/>
      <c r="AC75" s="491"/>
      <c r="AD75" s="491"/>
      <c r="AE75" s="491"/>
    </row>
    <row r="76" spans="1:31" s="2013" customFormat="1" ht="11.25" customHeight="1">
      <c r="A76" s="895"/>
      <c r="B76" s="1548"/>
      <c r="C76" s="1548"/>
      <c r="D76" s="276"/>
      <c r="K76" s="1060"/>
      <c r="L76" s="1548"/>
      <c r="M76" s="1548"/>
      <c r="N76" s="1060"/>
      <c r="O76" s="1060"/>
      <c r="P76" s="1060"/>
      <c r="Q76" s="1060"/>
      <c r="R76" s="1548"/>
      <c r="S76" s="1060"/>
      <c r="T76" s="1060"/>
      <c r="U76" s="469"/>
      <c r="V76" s="1060"/>
      <c r="W76" s="1060"/>
      <c r="X76" s="1060"/>
      <c r="Y76" s="1060"/>
      <c r="Z76" s="1060"/>
      <c r="AA76" s="1544"/>
      <c r="AB76" s="491"/>
      <c r="AC76" s="491"/>
      <c r="AD76" s="491"/>
      <c r="AE76" s="491"/>
    </row>
    <row r="77" spans="1:31" s="2013" customFormat="1" ht="11.25" customHeight="1">
      <c r="A77" s="895"/>
      <c r="B77" s="1548"/>
      <c r="C77" s="1548"/>
      <c r="D77" s="276"/>
      <c r="K77" s="1060"/>
      <c r="L77" s="1548"/>
      <c r="M77" s="1548"/>
      <c r="N77" s="1060"/>
      <c r="O77" s="1060"/>
      <c r="P77" s="1060"/>
      <c r="Q77" s="1060"/>
      <c r="R77" s="1548"/>
      <c r="S77" s="1060"/>
      <c r="T77" s="1060"/>
      <c r="U77" s="469"/>
      <c r="V77" s="1060"/>
      <c r="W77" s="1060"/>
      <c r="X77" s="1060"/>
      <c r="Y77" s="1060"/>
      <c r="Z77" s="1060"/>
      <c r="AA77" s="1544"/>
      <c r="AB77" s="491"/>
      <c r="AC77" s="491"/>
      <c r="AD77" s="491"/>
      <c r="AE77" s="491"/>
    </row>
    <row r="78" spans="1:31" s="2013" customFormat="1" ht="11.25" customHeight="1">
      <c r="A78" s="895"/>
      <c r="B78" s="1548"/>
      <c r="C78" s="1548"/>
      <c r="D78" s="276"/>
      <c r="K78" s="1060"/>
      <c r="L78" s="1548"/>
      <c r="M78" s="1548"/>
      <c r="N78" s="1060"/>
      <c r="O78" s="1060"/>
      <c r="P78" s="1060"/>
      <c r="Q78" s="1060"/>
      <c r="R78" s="1548"/>
      <c r="S78" s="1060"/>
      <c r="T78" s="1060"/>
      <c r="U78" s="469"/>
      <c r="V78" s="1060"/>
      <c r="W78" s="1060"/>
      <c r="X78" s="1060"/>
      <c r="Y78" s="1060"/>
      <c r="Z78" s="1060"/>
      <c r="AA78" s="1544"/>
      <c r="AB78" s="491"/>
      <c r="AC78" s="491"/>
      <c r="AD78" s="491"/>
      <c r="AE78" s="491"/>
    </row>
    <row r="79" spans="1:31" s="2013" customFormat="1" ht="11.25" customHeight="1">
      <c r="A79" s="895"/>
      <c r="B79" s="1548"/>
      <c r="C79" s="1548"/>
      <c r="D79" s="276"/>
      <c r="K79" s="1060"/>
      <c r="L79" s="1548"/>
      <c r="M79" s="1548"/>
      <c r="N79" s="1060"/>
      <c r="O79" s="1060"/>
      <c r="P79" s="1060"/>
      <c r="Q79" s="1060"/>
      <c r="R79" s="1548"/>
      <c r="S79" s="1060"/>
      <c r="T79" s="1060"/>
      <c r="U79" s="469"/>
      <c r="V79" s="1060"/>
      <c r="W79" s="1060"/>
      <c r="X79" s="1060"/>
      <c r="Y79" s="1060"/>
      <c r="Z79" s="1060"/>
      <c r="AA79" s="1544"/>
      <c r="AB79" s="491"/>
      <c r="AC79" s="491"/>
      <c r="AD79" s="491"/>
      <c r="AE79" s="491"/>
    </row>
    <row r="80" spans="1:31" s="2013" customFormat="1" ht="11.25" customHeight="1">
      <c r="A80" s="895"/>
      <c r="B80" s="1548"/>
      <c r="C80" s="1548"/>
      <c r="D80" s="276"/>
      <c r="K80" s="1060"/>
      <c r="L80" s="1548"/>
      <c r="M80" s="1548"/>
      <c r="N80" s="1060"/>
      <c r="O80" s="1060"/>
      <c r="P80" s="1060"/>
      <c r="Q80" s="1060"/>
      <c r="R80" s="1548"/>
      <c r="S80" s="1060"/>
      <c r="T80" s="1060"/>
      <c r="U80" s="469"/>
      <c r="V80" s="1060"/>
      <c r="W80" s="1060"/>
      <c r="X80" s="1060"/>
      <c r="Y80" s="1060"/>
      <c r="Z80" s="1060"/>
      <c r="AA80" s="1544"/>
      <c r="AB80" s="491"/>
      <c r="AC80" s="491"/>
      <c r="AD80" s="491"/>
      <c r="AE80" s="491"/>
    </row>
    <row r="81" spans="1:31" s="2013" customFormat="1" ht="11.25" customHeight="1">
      <c r="A81" s="895"/>
      <c r="B81" s="1548"/>
      <c r="C81" s="1548"/>
      <c r="D81" s="276"/>
      <c r="K81" s="1060"/>
      <c r="L81" s="1548"/>
      <c r="M81" s="1548"/>
      <c r="N81" s="1060"/>
      <c r="O81" s="1060"/>
      <c r="P81" s="1060"/>
      <c r="Q81" s="1060"/>
      <c r="R81" s="1548"/>
      <c r="S81" s="1060"/>
      <c r="T81" s="1060"/>
      <c r="U81" s="469"/>
      <c r="V81" s="1060"/>
      <c r="W81" s="1060"/>
      <c r="X81" s="1060"/>
      <c r="Y81" s="1060"/>
      <c r="Z81" s="1060"/>
      <c r="AA81" s="1544"/>
      <c r="AB81" s="491"/>
      <c r="AC81" s="491"/>
      <c r="AD81" s="491"/>
      <c r="AE81" s="491"/>
    </row>
    <row r="82" spans="1:31" s="2013" customFormat="1" ht="11.25" customHeight="1">
      <c r="A82" s="895"/>
      <c r="B82" s="1548"/>
      <c r="C82" s="1548"/>
      <c r="D82" s="276"/>
      <c r="K82" s="1060"/>
      <c r="L82" s="1548"/>
      <c r="M82" s="1548"/>
      <c r="N82" s="1060"/>
      <c r="O82" s="1060"/>
      <c r="P82" s="1060"/>
      <c r="Q82" s="1060"/>
      <c r="R82" s="1548"/>
      <c r="S82" s="1060"/>
      <c r="T82" s="1060"/>
      <c r="U82" s="469"/>
      <c r="V82" s="1060"/>
      <c r="W82" s="1060"/>
      <c r="X82" s="1060"/>
      <c r="Y82" s="1060"/>
      <c r="Z82" s="1060"/>
      <c r="AA82" s="1544"/>
      <c r="AB82" s="491"/>
      <c r="AC82" s="491"/>
      <c r="AD82" s="491"/>
      <c r="AE82" s="491"/>
    </row>
    <row r="83" spans="1:31" s="2013" customFormat="1" ht="11.25" customHeight="1">
      <c r="A83" s="895"/>
      <c r="B83" s="1548"/>
      <c r="C83" s="1548"/>
      <c r="D83" s="276"/>
      <c r="K83" s="1060"/>
      <c r="L83" s="1548"/>
      <c r="M83" s="1548"/>
      <c r="N83" s="1060"/>
      <c r="O83" s="1060"/>
      <c r="P83" s="1060"/>
      <c r="Q83" s="1060"/>
      <c r="R83" s="1548"/>
      <c r="S83" s="1060"/>
      <c r="T83" s="1060"/>
      <c r="U83" s="469"/>
      <c r="V83" s="1060"/>
      <c r="W83" s="1060"/>
      <c r="X83" s="1060"/>
      <c r="Y83" s="1060"/>
      <c r="Z83" s="1060"/>
      <c r="AA83" s="1544"/>
      <c r="AB83" s="491"/>
      <c r="AC83" s="491"/>
      <c r="AD83" s="491"/>
      <c r="AE83" s="491"/>
    </row>
    <row r="84" spans="1:31" s="2013" customFormat="1" ht="11.25" customHeight="1">
      <c r="A84" s="895"/>
      <c r="B84" s="1548"/>
      <c r="C84" s="1548"/>
      <c r="D84" s="276"/>
      <c r="K84" s="1060"/>
      <c r="L84" s="1548"/>
      <c r="M84" s="1548"/>
      <c r="N84" s="1060"/>
      <c r="O84" s="1060"/>
      <c r="P84" s="1060"/>
      <c r="Q84" s="1060"/>
      <c r="R84" s="1548"/>
      <c r="S84" s="1060"/>
      <c r="T84" s="1060"/>
      <c r="U84" s="469"/>
      <c r="V84" s="1060"/>
      <c r="W84" s="1060"/>
      <c r="X84" s="1060"/>
      <c r="Y84" s="1060"/>
      <c r="Z84" s="1060"/>
      <c r="AA84" s="1544"/>
      <c r="AB84" s="491"/>
      <c r="AC84" s="491"/>
      <c r="AD84" s="491"/>
      <c r="AE84" s="491"/>
    </row>
    <row r="85" spans="1:31" s="2013" customFormat="1" ht="11.25" customHeight="1">
      <c r="A85" s="895"/>
      <c r="B85" s="1548"/>
      <c r="C85" s="1548"/>
      <c r="D85" s="276"/>
      <c r="K85" s="1060"/>
      <c r="L85" s="1548"/>
      <c r="M85" s="1548"/>
      <c r="N85" s="1060"/>
      <c r="O85" s="1060"/>
      <c r="P85" s="1060"/>
      <c r="Q85" s="1060"/>
      <c r="R85" s="1548"/>
      <c r="S85" s="1060"/>
      <c r="T85" s="1060"/>
      <c r="U85" s="469"/>
      <c r="V85" s="1060"/>
      <c r="W85" s="1060"/>
      <c r="X85" s="1060"/>
      <c r="Y85" s="1060"/>
      <c r="Z85" s="1060"/>
      <c r="AA85" s="1544"/>
      <c r="AB85" s="491"/>
      <c r="AC85" s="491"/>
      <c r="AD85" s="491"/>
      <c r="AE85" s="491"/>
    </row>
    <row r="86" spans="1:31" s="2013" customFormat="1" ht="11.25" customHeight="1">
      <c r="A86" s="895"/>
      <c r="B86" s="1548"/>
      <c r="C86" s="1548"/>
      <c r="D86" s="276"/>
      <c r="K86" s="1060"/>
      <c r="L86" s="1548"/>
      <c r="M86" s="1548"/>
      <c r="N86" s="1060"/>
      <c r="O86" s="1060"/>
      <c r="P86" s="1060"/>
      <c r="Q86" s="1060"/>
      <c r="R86" s="1548"/>
      <c r="S86" s="1060"/>
      <c r="T86" s="1060"/>
      <c r="U86" s="469"/>
      <c r="V86" s="1060"/>
      <c r="W86" s="1060"/>
      <c r="X86" s="1060"/>
      <c r="Y86" s="1060"/>
      <c r="Z86" s="1060"/>
      <c r="AA86" s="1544"/>
      <c r="AB86" s="491"/>
      <c r="AC86" s="491"/>
      <c r="AD86" s="491"/>
      <c r="AE86" s="491"/>
    </row>
    <row r="87" spans="1:31" s="2013" customFormat="1" ht="11.25" customHeight="1">
      <c r="A87" s="895"/>
      <c r="B87" s="1548"/>
      <c r="C87" s="1548"/>
      <c r="D87" s="276"/>
      <c r="K87" s="1060"/>
      <c r="L87" s="1548"/>
      <c r="M87" s="1548"/>
      <c r="N87" s="1060"/>
      <c r="O87" s="1060"/>
      <c r="P87" s="1060"/>
      <c r="Q87" s="1060"/>
      <c r="R87" s="1548"/>
      <c r="S87" s="1060"/>
      <c r="T87" s="1060"/>
      <c r="U87" s="469"/>
      <c r="V87" s="1060"/>
      <c r="W87" s="1060"/>
      <c r="X87" s="1060"/>
      <c r="Y87" s="1060"/>
      <c r="Z87" s="1060"/>
      <c r="AA87" s="1544"/>
      <c r="AB87" s="491"/>
      <c r="AC87" s="491"/>
      <c r="AD87" s="491"/>
      <c r="AE87" s="491"/>
    </row>
    <row r="88" spans="1:31" s="2013" customFormat="1" ht="11.25" customHeight="1">
      <c r="A88" s="895"/>
      <c r="B88" s="1548"/>
      <c r="C88" s="1548"/>
      <c r="D88" s="276"/>
      <c r="K88" s="1060"/>
      <c r="L88" s="1548"/>
      <c r="M88" s="1548"/>
      <c r="N88" s="1060"/>
      <c r="O88" s="1060"/>
      <c r="P88" s="1060"/>
      <c r="Q88" s="1060"/>
      <c r="R88" s="1548"/>
      <c r="S88" s="1060"/>
      <c r="T88" s="1060"/>
      <c r="U88" s="469"/>
      <c r="V88" s="1060"/>
      <c r="W88" s="1060"/>
      <c r="X88" s="1060"/>
      <c r="Y88" s="1060"/>
      <c r="Z88" s="1060"/>
      <c r="AA88" s="1544"/>
      <c r="AB88" s="491"/>
      <c r="AC88" s="491"/>
      <c r="AD88" s="491"/>
      <c r="AE88" s="491"/>
    </row>
    <row r="89" spans="1:31" s="2013" customFormat="1" ht="11.25" customHeight="1">
      <c r="A89" s="895"/>
      <c r="B89" s="1548"/>
      <c r="C89" s="1548"/>
      <c r="D89" s="276"/>
      <c r="K89" s="1060"/>
      <c r="L89" s="1548"/>
      <c r="M89" s="1548"/>
      <c r="N89" s="1060"/>
      <c r="O89" s="1060"/>
      <c r="P89" s="1060"/>
      <c r="Q89" s="1060"/>
      <c r="R89" s="1548"/>
      <c r="S89" s="1060"/>
      <c r="T89" s="1060"/>
      <c r="U89" s="469"/>
      <c r="V89" s="1060"/>
      <c r="W89" s="1060"/>
      <c r="X89" s="1060"/>
      <c r="Y89" s="1060"/>
      <c r="Z89" s="1060"/>
      <c r="AA89" s="1544"/>
      <c r="AB89" s="491"/>
      <c r="AC89" s="491"/>
      <c r="AD89" s="491"/>
      <c r="AE89" s="491"/>
    </row>
    <row r="90" spans="1:31" s="2013" customFormat="1" ht="11.25" customHeight="1">
      <c r="A90" s="895"/>
      <c r="B90" s="1548"/>
      <c r="C90" s="1548"/>
      <c r="D90" s="276"/>
      <c r="K90" s="1060"/>
      <c r="L90" s="1548"/>
      <c r="M90" s="1548"/>
      <c r="N90" s="1060"/>
      <c r="O90" s="1060"/>
      <c r="P90" s="1060"/>
      <c r="Q90" s="1060"/>
      <c r="R90" s="1548"/>
      <c r="S90" s="1060"/>
      <c r="T90" s="1060"/>
      <c r="U90" s="469"/>
      <c r="V90" s="1060"/>
      <c r="W90" s="1060"/>
      <c r="X90" s="1060"/>
      <c r="Y90" s="1060"/>
      <c r="Z90" s="1060"/>
      <c r="AA90" s="1544"/>
      <c r="AB90" s="491"/>
      <c r="AC90" s="491"/>
      <c r="AD90" s="491"/>
      <c r="AE90" s="491"/>
    </row>
    <row r="91" spans="1:31" s="2013" customFormat="1" ht="11.25" customHeight="1">
      <c r="A91" s="895"/>
      <c r="B91" s="1548"/>
      <c r="C91" s="1548"/>
      <c r="D91" s="276"/>
      <c r="K91" s="1060"/>
      <c r="L91" s="1548"/>
      <c r="M91" s="1548"/>
      <c r="N91" s="1060"/>
      <c r="O91" s="1060"/>
      <c r="P91" s="1060"/>
      <c r="Q91" s="1060"/>
      <c r="R91" s="1548"/>
      <c r="S91" s="1060"/>
      <c r="T91" s="1060"/>
      <c r="U91" s="469"/>
      <c r="V91" s="1060"/>
      <c r="W91" s="1060"/>
      <c r="X91" s="1060"/>
      <c r="Y91" s="1060"/>
      <c r="Z91" s="1060"/>
      <c r="AA91" s="1544"/>
      <c r="AB91" s="491"/>
      <c r="AC91" s="491"/>
      <c r="AD91" s="491"/>
      <c r="AE91" s="491"/>
    </row>
    <row r="92" spans="1:31" s="2013" customFormat="1" ht="11.25" customHeight="1">
      <c r="A92" s="895"/>
      <c r="B92" s="1548"/>
      <c r="C92" s="1548"/>
      <c r="D92" s="276"/>
      <c r="K92" s="1060"/>
      <c r="L92" s="1548"/>
      <c r="M92" s="1548"/>
      <c r="N92" s="1060"/>
      <c r="O92" s="1060"/>
      <c r="P92" s="1060"/>
      <c r="Q92" s="1060"/>
      <c r="R92" s="1548"/>
      <c r="S92" s="1060"/>
      <c r="T92" s="1060"/>
      <c r="U92" s="469"/>
      <c r="V92" s="1060"/>
      <c r="W92" s="1060"/>
      <c r="X92" s="1060"/>
      <c r="Y92" s="1060"/>
      <c r="Z92" s="1060"/>
      <c r="AA92" s="1544"/>
      <c r="AB92" s="491"/>
      <c r="AC92" s="491"/>
      <c r="AD92" s="491"/>
      <c r="AE92" s="491"/>
    </row>
    <row r="93" spans="1:31" s="2013" customFormat="1" ht="11.25" customHeight="1">
      <c r="A93" s="895"/>
      <c r="B93" s="1548"/>
      <c r="C93" s="1548"/>
      <c r="D93" s="276"/>
      <c r="K93" s="1060"/>
      <c r="L93" s="1548"/>
      <c r="M93" s="1548"/>
      <c r="N93" s="1060"/>
      <c r="O93" s="1060"/>
      <c r="P93" s="1060"/>
      <c r="Q93" s="1060"/>
      <c r="R93" s="1548"/>
      <c r="S93" s="1060"/>
      <c r="T93" s="1060"/>
      <c r="U93" s="469"/>
      <c r="V93" s="1060"/>
      <c r="W93" s="1060"/>
      <c r="X93" s="1060"/>
      <c r="Y93" s="1060"/>
      <c r="Z93" s="1060"/>
      <c r="AA93" s="1544"/>
      <c r="AB93" s="491"/>
      <c r="AC93" s="491"/>
      <c r="AD93" s="491"/>
      <c r="AE93" s="491"/>
    </row>
    <row r="94" spans="1:31" s="2013" customFormat="1" ht="11.25" customHeight="1">
      <c r="A94" s="895"/>
      <c r="B94" s="1548"/>
      <c r="C94" s="1548"/>
      <c r="D94" s="276"/>
      <c r="K94" s="1060"/>
      <c r="L94" s="1548"/>
      <c r="M94" s="1548"/>
      <c r="N94" s="1060"/>
      <c r="O94" s="1060"/>
      <c r="P94" s="1060"/>
      <c r="Q94" s="1060"/>
      <c r="R94" s="1548"/>
      <c r="S94" s="1060"/>
      <c r="T94" s="1060"/>
      <c r="U94" s="469"/>
      <c r="V94" s="1060"/>
      <c r="W94" s="1060"/>
      <c r="X94" s="1060"/>
      <c r="Y94" s="1060"/>
      <c r="Z94" s="1060"/>
      <c r="AA94" s="1544"/>
      <c r="AB94" s="491"/>
      <c r="AC94" s="491"/>
      <c r="AD94" s="491"/>
      <c r="AE94" s="491"/>
    </row>
    <row r="95" spans="1:31" s="2013" customFormat="1" ht="11.25" customHeight="1">
      <c r="A95" s="895"/>
      <c r="B95" s="1548"/>
      <c r="C95" s="1548"/>
      <c r="D95" s="276"/>
      <c r="K95" s="1060"/>
      <c r="L95" s="1548"/>
      <c r="M95" s="1548"/>
      <c r="N95" s="1060"/>
      <c r="O95" s="1060"/>
      <c r="P95" s="1060"/>
      <c r="Q95" s="1060"/>
      <c r="R95" s="1548"/>
      <c r="S95" s="1060"/>
      <c r="T95" s="1060"/>
      <c r="U95" s="469"/>
      <c r="V95" s="1060"/>
      <c r="W95" s="1060"/>
      <c r="X95" s="1060"/>
      <c r="Y95" s="1060"/>
      <c r="Z95" s="1060"/>
      <c r="AA95" s="1544"/>
      <c r="AB95" s="491"/>
      <c r="AC95" s="491"/>
      <c r="AD95" s="491"/>
      <c r="AE95" s="491"/>
    </row>
    <row r="96" spans="1:31" s="2013" customFormat="1" ht="11.25" customHeight="1">
      <c r="A96" s="895"/>
      <c r="B96" s="1548"/>
      <c r="C96" s="1548"/>
      <c r="D96" s="276"/>
      <c r="K96" s="1060"/>
      <c r="L96" s="1548"/>
      <c r="M96" s="1548"/>
      <c r="N96" s="1060"/>
      <c r="O96" s="1060"/>
      <c r="P96" s="1060"/>
      <c r="Q96" s="1060"/>
      <c r="R96" s="1548"/>
      <c r="S96" s="1060"/>
      <c r="T96" s="1060"/>
      <c r="U96" s="469"/>
      <c r="V96" s="1060"/>
      <c r="W96" s="1060"/>
      <c r="X96" s="1060"/>
      <c r="Y96" s="1060"/>
      <c r="Z96" s="1060"/>
      <c r="AA96" s="1544"/>
      <c r="AB96" s="491"/>
      <c r="AC96" s="491"/>
      <c r="AD96" s="491"/>
      <c r="AE96" s="491"/>
    </row>
    <row r="97" spans="1:31" s="2013" customFormat="1" ht="11.25" customHeight="1">
      <c r="A97" s="895"/>
      <c r="B97" s="1548"/>
      <c r="C97" s="1548"/>
      <c r="D97" s="276"/>
      <c r="K97" s="1060"/>
      <c r="L97" s="1548"/>
      <c r="M97" s="1548"/>
      <c r="N97" s="1060"/>
      <c r="O97" s="1060"/>
      <c r="P97" s="1060"/>
      <c r="Q97" s="1060"/>
      <c r="R97" s="1548"/>
      <c r="S97" s="1060"/>
      <c r="T97" s="1060"/>
      <c r="U97" s="469"/>
      <c r="V97" s="1060"/>
      <c r="W97" s="1060"/>
      <c r="X97" s="1060"/>
      <c r="Y97" s="1060"/>
      <c r="Z97" s="1060"/>
      <c r="AA97" s="1544"/>
      <c r="AB97" s="491"/>
      <c r="AC97" s="491"/>
      <c r="AD97" s="491"/>
      <c r="AE97" s="491"/>
    </row>
    <row r="98" spans="1:31" s="2013" customFormat="1" ht="11.25" customHeight="1">
      <c r="A98" s="895"/>
      <c r="B98" s="1548"/>
      <c r="C98" s="1548"/>
      <c r="D98" s="276"/>
      <c r="K98" s="1060"/>
      <c r="L98" s="1548"/>
      <c r="M98" s="1548"/>
      <c r="N98" s="1060"/>
      <c r="O98" s="1060"/>
      <c r="P98" s="1060"/>
      <c r="Q98" s="1060"/>
      <c r="R98" s="1548"/>
      <c r="S98" s="1060"/>
      <c r="T98" s="1060"/>
      <c r="U98" s="469"/>
      <c r="V98" s="1060"/>
      <c r="W98" s="1060"/>
      <c r="X98" s="1060"/>
      <c r="Y98" s="1060"/>
      <c r="Z98" s="1060"/>
      <c r="AA98" s="1544"/>
      <c r="AB98" s="491"/>
      <c r="AC98" s="491"/>
      <c r="AD98" s="491"/>
      <c r="AE98" s="491"/>
    </row>
    <row r="99" spans="1:31" s="2013" customFormat="1" ht="11.25" customHeight="1">
      <c r="A99" s="895"/>
      <c r="B99" s="1548"/>
      <c r="C99" s="1548"/>
      <c r="D99" s="276"/>
      <c r="K99" s="1060"/>
      <c r="L99" s="1548"/>
      <c r="M99" s="1548"/>
      <c r="N99" s="1060"/>
      <c r="O99" s="1060"/>
      <c r="P99" s="1060"/>
      <c r="Q99" s="1060"/>
      <c r="R99" s="1548"/>
      <c r="S99" s="1060"/>
      <c r="T99" s="1060"/>
      <c r="U99" s="469"/>
      <c r="V99" s="1060"/>
      <c r="W99" s="1060"/>
      <c r="X99" s="1060"/>
      <c r="Y99" s="1060"/>
      <c r="Z99" s="1060"/>
      <c r="AA99" s="1544"/>
      <c r="AB99" s="491"/>
      <c r="AC99" s="491"/>
      <c r="AD99" s="491"/>
      <c r="AE99" s="491"/>
    </row>
    <row r="100" spans="1:31" s="2013" customFormat="1" ht="11.25" customHeight="1">
      <c r="A100" s="895"/>
      <c r="B100" s="1548"/>
      <c r="C100" s="1548"/>
      <c r="D100" s="276"/>
      <c r="K100" s="1060"/>
      <c r="L100" s="1548"/>
      <c r="M100" s="1548"/>
      <c r="N100" s="1060"/>
      <c r="O100" s="1060"/>
      <c r="P100" s="1060"/>
      <c r="Q100" s="1060"/>
      <c r="R100" s="1548"/>
      <c r="S100" s="1060"/>
      <c r="T100" s="1060"/>
      <c r="U100" s="469"/>
      <c r="V100" s="1060"/>
      <c r="W100" s="1060"/>
      <c r="X100" s="1060"/>
      <c r="Y100" s="1060"/>
      <c r="Z100" s="1060"/>
      <c r="AA100" s="1544"/>
      <c r="AB100" s="491"/>
      <c r="AC100" s="491"/>
      <c r="AD100" s="491"/>
      <c r="AE100" s="491"/>
    </row>
    <row r="101" spans="1:31" s="2013" customFormat="1" ht="11.25" customHeight="1">
      <c r="A101" s="895"/>
      <c r="B101" s="1548"/>
      <c r="C101" s="1548"/>
      <c r="D101" s="276"/>
      <c r="K101" s="1060"/>
      <c r="L101" s="1548"/>
      <c r="M101" s="1548"/>
      <c r="N101" s="1060"/>
      <c r="O101" s="1060"/>
      <c r="P101" s="1060"/>
      <c r="Q101" s="1060"/>
      <c r="R101" s="1548"/>
      <c r="S101" s="1060"/>
      <c r="T101" s="1060"/>
      <c r="U101" s="469"/>
      <c r="V101" s="1060"/>
      <c r="W101" s="1060"/>
      <c r="X101" s="1060"/>
      <c r="Y101" s="1060"/>
      <c r="Z101" s="1060"/>
      <c r="AA101" s="1544"/>
      <c r="AB101" s="491"/>
      <c r="AC101" s="491"/>
      <c r="AD101" s="491"/>
      <c r="AE101" s="491"/>
    </row>
    <row r="102" spans="1:31" s="2013" customFormat="1" ht="11.25" customHeight="1">
      <c r="A102" s="895"/>
      <c r="B102" s="1548"/>
      <c r="C102" s="1548"/>
      <c r="D102" s="276"/>
      <c r="K102" s="1060"/>
      <c r="L102" s="1548"/>
      <c r="M102" s="1548"/>
      <c r="N102" s="1060"/>
      <c r="O102" s="1060"/>
      <c r="P102" s="1060"/>
      <c r="Q102" s="1060"/>
      <c r="R102" s="1548"/>
      <c r="S102" s="1060"/>
      <c r="T102" s="1060"/>
      <c r="U102" s="469"/>
      <c r="V102" s="1060"/>
      <c r="W102" s="1060"/>
      <c r="X102" s="1060"/>
      <c r="Y102" s="1060"/>
      <c r="Z102" s="1060"/>
      <c r="AA102" s="1544"/>
      <c r="AB102" s="491"/>
      <c r="AC102" s="491"/>
      <c r="AD102" s="491"/>
      <c r="AE102" s="491"/>
    </row>
    <row r="103" spans="1:31" s="2013" customFormat="1" ht="11.25" customHeight="1">
      <c r="A103" s="895"/>
      <c r="B103" s="1548"/>
      <c r="C103" s="1548"/>
      <c r="D103" s="276"/>
      <c r="K103" s="1060"/>
      <c r="L103" s="1548"/>
      <c r="M103" s="1548"/>
      <c r="N103" s="1060"/>
      <c r="O103" s="1060"/>
      <c r="P103" s="1060"/>
      <c r="Q103" s="1060"/>
      <c r="R103" s="1548"/>
      <c r="S103" s="1060"/>
      <c r="T103" s="1060"/>
      <c r="U103" s="469"/>
      <c r="V103" s="1060"/>
      <c r="W103" s="1060"/>
      <c r="X103" s="1060"/>
      <c r="Y103" s="1060"/>
      <c r="Z103" s="1060"/>
      <c r="AA103" s="1544"/>
      <c r="AB103" s="491"/>
      <c r="AC103" s="491"/>
      <c r="AD103" s="491"/>
      <c r="AE103" s="491"/>
    </row>
    <row r="104" spans="1:31" s="2013" customFormat="1" ht="11.25" customHeight="1">
      <c r="A104" s="895"/>
      <c r="B104" s="1548"/>
      <c r="C104" s="1548"/>
      <c r="D104" s="276"/>
      <c r="K104" s="1060"/>
      <c r="L104" s="1548"/>
      <c r="M104" s="1548"/>
      <c r="N104" s="1060"/>
      <c r="O104" s="1060"/>
      <c r="P104" s="1060"/>
      <c r="Q104" s="1060"/>
      <c r="R104" s="1548"/>
      <c r="S104" s="1060"/>
      <c r="T104" s="1060"/>
      <c r="U104" s="469"/>
      <c r="V104" s="1060"/>
      <c r="W104" s="1060"/>
      <c r="X104" s="1060"/>
      <c r="Y104" s="1060"/>
      <c r="Z104" s="1060"/>
      <c r="AA104" s="1544"/>
      <c r="AB104" s="491"/>
      <c r="AC104" s="491"/>
      <c r="AD104" s="491"/>
      <c r="AE104" s="491"/>
    </row>
    <row r="105" spans="1:31" s="2013" customFormat="1" ht="11.25" customHeight="1">
      <c r="A105" s="895"/>
      <c r="B105" s="1548"/>
      <c r="C105" s="1548"/>
      <c r="D105" s="276"/>
      <c r="K105" s="1060"/>
      <c r="L105" s="1548"/>
      <c r="M105" s="1548"/>
      <c r="N105" s="1060"/>
      <c r="O105" s="1060"/>
      <c r="P105" s="1060"/>
      <c r="Q105" s="1060"/>
      <c r="R105" s="1548"/>
      <c r="S105" s="1060"/>
      <c r="T105" s="1060"/>
      <c r="U105" s="469"/>
      <c r="V105" s="1060"/>
      <c r="W105" s="1060"/>
      <c r="X105" s="1060"/>
      <c r="Y105" s="1060"/>
      <c r="Z105" s="1060"/>
      <c r="AA105" s="1544"/>
      <c r="AB105" s="491"/>
      <c r="AC105" s="491"/>
      <c r="AD105" s="491"/>
      <c r="AE105" s="491"/>
    </row>
    <row r="106" spans="1:31" s="2013" customFormat="1" ht="11.25" customHeight="1">
      <c r="A106" s="895"/>
      <c r="B106" s="1548"/>
      <c r="C106" s="1548"/>
      <c r="D106" s="276"/>
      <c r="K106" s="1060"/>
      <c r="L106" s="1548"/>
      <c r="M106" s="1548"/>
      <c r="N106" s="1060"/>
      <c r="O106" s="1060"/>
      <c r="P106" s="1060"/>
      <c r="Q106" s="1060"/>
      <c r="R106" s="1548"/>
      <c r="S106" s="1060"/>
      <c r="T106" s="1060"/>
      <c r="U106" s="469"/>
      <c r="V106" s="1060"/>
      <c r="W106" s="1060"/>
      <c r="X106" s="1060"/>
      <c r="Y106" s="1060"/>
      <c r="Z106" s="1060"/>
      <c r="AA106" s="1544"/>
      <c r="AB106" s="491"/>
      <c r="AC106" s="491"/>
      <c r="AD106" s="491"/>
      <c r="AE106" s="491"/>
    </row>
    <row r="107" spans="1:31" s="2013" customFormat="1" ht="11.25" customHeight="1">
      <c r="A107" s="895"/>
      <c r="B107" s="1548"/>
      <c r="C107" s="1548"/>
      <c r="D107" s="276"/>
      <c r="K107" s="1060"/>
      <c r="L107" s="1548"/>
      <c r="M107" s="1548"/>
      <c r="N107" s="1060"/>
      <c r="O107" s="1060"/>
      <c r="P107" s="1060"/>
      <c r="Q107" s="1060"/>
      <c r="R107" s="1548"/>
      <c r="S107" s="1060"/>
      <c r="T107" s="1060"/>
      <c r="U107" s="469"/>
      <c r="V107" s="1060"/>
      <c r="W107" s="1060"/>
      <c r="X107" s="1060"/>
      <c r="Y107" s="1060"/>
      <c r="Z107" s="1060"/>
      <c r="AA107" s="1544"/>
      <c r="AB107" s="491"/>
      <c r="AC107" s="491"/>
      <c r="AD107" s="491"/>
      <c r="AE107" s="491"/>
    </row>
    <row r="108" spans="1:31" s="2013" customFormat="1" ht="11.25" customHeight="1">
      <c r="A108" s="895"/>
      <c r="B108" s="1548"/>
      <c r="C108" s="1548"/>
      <c r="D108" s="276"/>
      <c r="K108" s="1060"/>
      <c r="L108" s="1548"/>
      <c r="M108" s="1548"/>
      <c r="N108" s="1060"/>
      <c r="O108" s="1060"/>
      <c r="P108" s="1060"/>
      <c r="Q108" s="1060"/>
      <c r="R108" s="1548"/>
      <c r="S108" s="1060"/>
      <c r="T108" s="1060"/>
      <c r="U108" s="469"/>
      <c r="V108" s="1060"/>
      <c r="W108" s="1060"/>
      <c r="X108" s="1060"/>
      <c r="Y108" s="1060"/>
      <c r="Z108" s="1060"/>
      <c r="AA108" s="1544"/>
      <c r="AB108" s="491"/>
      <c r="AC108" s="491"/>
      <c r="AD108" s="491"/>
      <c r="AE108" s="491"/>
    </row>
    <row r="109" spans="1:31" s="2013" customFormat="1" ht="11.25" customHeight="1">
      <c r="A109" s="895"/>
      <c r="B109" s="1548"/>
      <c r="C109" s="1548"/>
      <c r="D109" s="276"/>
      <c r="K109" s="1060"/>
      <c r="L109" s="1548"/>
      <c r="M109" s="1548"/>
      <c r="N109" s="1060"/>
      <c r="O109" s="1060"/>
      <c r="P109" s="1060"/>
      <c r="Q109" s="1060"/>
      <c r="R109" s="1548"/>
      <c r="S109" s="1060"/>
      <c r="T109" s="1060"/>
      <c r="U109" s="469"/>
      <c r="V109" s="1060"/>
      <c r="W109" s="1060"/>
      <c r="X109" s="1060"/>
      <c r="Y109" s="1060"/>
      <c r="Z109" s="1060"/>
      <c r="AA109" s="1544"/>
      <c r="AB109" s="491"/>
      <c r="AC109" s="491"/>
      <c r="AD109" s="491"/>
      <c r="AE109" s="491"/>
    </row>
    <row r="110" spans="1:31" s="2013" customFormat="1" ht="11.25" customHeight="1">
      <c r="A110" s="895"/>
      <c r="B110" s="1548"/>
      <c r="C110" s="1548"/>
      <c r="D110" s="276"/>
      <c r="K110" s="1060"/>
      <c r="L110" s="1548"/>
      <c r="M110" s="1548"/>
      <c r="N110" s="1060"/>
      <c r="O110" s="1060"/>
      <c r="P110" s="1060"/>
      <c r="Q110" s="1060"/>
      <c r="R110" s="1548"/>
      <c r="S110" s="1060"/>
      <c r="T110" s="1060"/>
      <c r="U110" s="469"/>
      <c r="V110" s="1060"/>
      <c r="W110" s="1060"/>
      <c r="X110" s="1060"/>
      <c r="Y110" s="1060"/>
      <c r="Z110" s="1060"/>
      <c r="AA110" s="1544"/>
      <c r="AB110" s="491"/>
      <c r="AC110" s="491"/>
      <c r="AD110" s="491"/>
      <c r="AE110" s="491"/>
    </row>
    <row r="111" spans="1:31" s="2013" customFormat="1" ht="11.25" customHeight="1">
      <c r="A111" s="895"/>
      <c r="B111" s="1548"/>
      <c r="C111" s="1548"/>
      <c r="D111" s="276"/>
      <c r="K111" s="1060"/>
      <c r="L111" s="1548"/>
      <c r="M111" s="1548"/>
      <c r="N111" s="1060"/>
      <c r="O111" s="1060"/>
      <c r="P111" s="1060"/>
      <c r="Q111" s="1060"/>
      <c r="R111" s="1548"/>
      <c r="S111" s="1060"/>
      <c r="T111" s="1060"/>
      <c r="U111" s="469"/>
      <c r="V111" s="1060"/>
      <c r="W111" s="1060"/>
      <c r="X111" s="1060"/>
      <c r="Y111" s="1060"/>
      <c r="Z111" s="1060"/>
      <c r="AA111" s="1544"/>
      <c r="AB111" s="491"/>
      <c r="AC111" s="491"/>
      <c r="AD111" s="491"/>
      <c r="AE111" s="491"/>
    </row>
    <row r="112" spans="1:31" s="2013" customFormat="1" ht="11.25" customHeight="1">
      <c r="A112" s="895"/>
      <c r="B112" s="1548"/>
      <c r="C112" s="1548"/>
      <c r="D112" s="276"/>
      <c r="K112" s="1060"/>
      <c r="L112" s="1548"/>
      <c r="M112" s="1548"/>
      <c r="N112" s="1060"/>
      <c r="O112" s="1060"/>
      <c r="P112" s="1060"/>
      <c r="Q112" s="1060"/>
      <c r="R112" s="1548"/>
      <c r="S112" s="1060"/>
      <c r="T112" s="1060"/>
      <c r="U112" s="469"/>
      <c r="V112" s="1060"/>
      <c r="W112" s="1060"/>
      <c r="X112" s="1060"/>
      <c r="Y112" s="1060"/>
      <c r="Z112" s="1060"/>
      <c r="AA112" s="1544"/>
      <c r="AB112" s="491"/>
      <c r="AC112" s="491"/>
      <c r="AD112" s="491"/>
      <c r="AE112" s="491"/>
    </row>
    <row r="113" spans="1:31" s="2013" customFormat="1" ht="11.25" customHeight="1">
      <c r="A113" s="895"/>
      <c r="B113" s="1548"/>
      <c r="C113" s="1548"/>
      <c r="D113" s="276"/>
      <c r="K113" s="1060"/>
      <c r="L113" s="1548"/>
      <c r="M113" s="1548"/>
      <c r="N113" s="1060"/>
      <c r="O113" s="1060"/>
      <c r="P113" s="1060"/>
      <c r="Q113" s="1060"/>
      <c r="R113" s="1548"/>
      <c r="S113" s="1060"/>
      <c r="T113" s="1060"/>
      <c r="U113" s="469"/>
      <c r="V113" s="1060"/>
      <c r="W113" s="1060"/>
      <c r="X113" s="1060"/>
      <c r="Y113" s="1060"/>
      <c r="Z113" s="1060"/>
      <c r="AA113" s="1544"/>
      <c r="AB113" s="491"/>
      <c r="AC113" s="491"/>
      <c r="AD113" s="491"/>
      <c r="AE113" s="491"/>
    </row>
    <row r="114" spans="1:31" s="2013" customFormat="1" ht="11.25" customHeight="1">
      <c r="A114" s="895"/>
      <c r="B114" s="1548"/>
      <c r="C114" s="1548"/>
      <c r="D114" s="276"/>
      <c r="K114" s="1060"/>
      <c r="L114" s="1548"/>
      <c r="M114" s="1548"/>
      <c r="N114" s="1060"/>
      <c r="O114" s="1060"/>
      <c r="P114" s="1060"/>
      <c r="Q114" s="1060"/>
      <c r="R114" s="1548"/>
      <c r="S114" s="1060"/>
      <c r="T114" s="1060"/>
      <c r="U114" s="469"/>
      <c r="V114" s="1060"/>
      <c r="W114" s="1060"/>
      <c r="X114" s="1060"/>
      <c r="Y114" s="1060"/>
      <c r="Z114" s="1060"/>
      <c r="AA114" s="1544"/>
      <c r="AB114" s="491"/>
      <c r="AC114" s="491"/>
      <c r="AD114" s="491"/>
      <c r="AE114" s="491"/>
    </row>
    <row r="115" spans="1:31" s="2013" customFormat="1" ht="11.25" customHeight="1">
      <c r="A115" s="895"/>
      <c r="B115" s="1548"/>
      <c r="C115" s="1548"/>
      <c r="D115" s="276"/>
      <c r="K115" s="1060"/>
      <c r="L115" s="1548"/>
      <c r="M115" s="1548"/>
      <c r="N115" s="1060"/>
      <c r="O115" s="1060"/>
      <c r="P115" s="1060"/>
      <c r="Q115" s="1060"/>
      <c r="R115" s="1548"/>
      <c r="S115" s="1060"/>
      <c r="T115" s="1060"/>
      <c r="U115" s="469"/>
      <c r="V115" s="1060"/>
      <c r="W115" s="1060"/>
      <c r="X115" s="1060"/>
      <c r="Y115" s="1060"/>
      <c r="Z115" s="1060"/>
      <c r="AA115" s="1544"/>
      <c r="AB115" s="491"/>
      <c r="AC115" s="491"/>
      <c r="AD115" s="491"/>
      <c r="AE115" s="491"/>
    </row>
    <row r="116" spans="1:31" s="2013" customFormat="1" ht="11.25" customHeight="1">
      <c r="A116" s="895"/>
      <c r="B116" s="1548"/>
      <c r="C116" s="1548"/>
      <c r="D116" s="276"/>
      <c r="K116" s="1060"/>
      <c r="L116" s="1548"/>
      <c r="M116" s="1548"/>
      <c r="N116" s="1060"/>
      <c r="O116" s="1060"/>
      <c r="P116" s="1060"/>
      <c r="Q116" s="1060"/>
      <c r="R116" s="1548"/>
      <c r="S116" s="1060"/>
      <c r="T116" s="1060"/>
      <c r="U116" s="469"/>
      <c r="V116" s="1060"/>
      <c r="W116" s="1060"/>
      <c r="X116" s="1060"/>
      <c r="Y116" s="1060"/>
      <c r="Z116" s="1060"/>
      <c r="AA116" s="1544"/>
      <c r="AB116" s="491"/>
      <c r="AC116" s="491"/>
      <c r="AD116" s="491"/>
      <c r="AE116" s="491"/>
    </row>
    <row r="117" spans="1:31" s="2013" customFormat="1" ht="11.25" customHeight="1">
      <c r="A117" s="895"/>
      <c r="B117" s="1548"/>
      <c r="C117" s="1548"/>
      <c r="D117" s="276"/>
      <c r="K117" s="1060"/>
      <c r="L117" s="1548"/>
      <c r="M117" s="1548"/>
      <c r="N117" s="1060"/>
      <c r="O117" s="1060"/>
      <c r="P117" s="1060"/>
      <c r="Q117" s="1060"/>
      <c r="R117" s="1548"/>
      <c r="S117" s="1060"/>
      <c r="T117" s="1060"/>
      <c r="U117" s="469"/>
      <c r="V117" s="1060"/>
      <c r="W117" s="1060"/>
      <c r="X117" s="1060"/>
      <c r="Y117" s="1060"/>
      <c r="Z117" s="1060"/>
      <c r="AA117" s="1544"/>
      <c r="AB117" s="491"/>
      <c r="AC117" s="491"/>
      <c r="AD117" s="491"/>
      <c r="AE117" s="491"/>
    </row>
    <row r="118" spans="1:31" s="2013" customFormat="1" ht="11.25" customHeight="1">
      <c r="A118" s="895"/>
      <c r="B118" s="1548"/>
      <c r="C118" s="1548"/>
      <c r="D118" s="276"/>
      <c r="K118" s="1060"/>
      <c r="L118" s="1548"/>
      <c r="M118" s="1548"/>
      <c r="N118" s="1060"/>
      <c r="O118" s="1060"/>
      <c r="P118" s="1060"/>
      <c r="Q118" s="1060"/>
      <c r="R118" s="1548"/>
      <c r="S118" s="1060"/>
      <c r="T118" s="1060"/>
      <c r="U118" s="469"/>
      <c r="V118" s="1060"/>
      <c r="W118" s="1060"/>
      <c r="X118" s="1060"/>
      <c r="Y118" s="1060"/>
      <c r="Z118" s="1060"/>
      <c r="AA118" s="1544"/>
      <c r="AB118" s="491"/>
      <c r="AC118" s="491"/>
      <c r="AD118" s="491"/>
      <c r="AE118" s="491"/>
    </row>
    <row r="119" spans="1:31" s="2013" customFormat="1" ht="11.25" customHeight="1">
      <c r="A119" s="895"/>
      <c r="B119" s="1548"/>
      <c r="C119" s="1548"/>
      <c r="D119" s="276"/>
      <c r="K119" s="1060"/>
      <c r="L119" s="1548"/>
      <c r="M119" s="1548"/>
      <c r="N119" s="1060"/>
      <c r="O119" s="1060"/>
      <c r="P119" s="1060"/>
      <c r="Q119" s="1060"/>
      <c r="R119" s="1548"/>
      <c r="S119" s="1060"/>
      <c r="T119" s="1060"/>
      <c r="U119" s="469"/>
      <c r="V119" s="1060"/>
      <c r="W119" s="1060"/>
      <c r="X119" s="1060"/>
      <c r="Y119" s="1060"/>
      <c r="Z119" s="1060"/>
      <c r="AA119" s="1544"/>
      <c r="AB119" s="491"/>
      <c r="AC119" s="491"/>
      <c r="AD119" s="491"/>
      <c r="AE119" s="491"/>
    </row>
    <row r="120" spans="1:31" s="2013" customFormat="1" ht="11.25" customHeight="1">
      <c r="A120" s="895"/>
      <c r="B120" s="1548"/>
      <c r="C120" s="1548"/>
      <c r="D120" s="276"/>
      <c r="K120" s="1060"/>
      <c r="L120" s="1548"/>
      <c r="M120" s="1548"/>
      <c r="N120" s="1060"/>
      <c r="O120" s="1060"/>
      <c r="P120" s="1060"/>
      <c r="Q120" s="1060"/>
      <c r="R120" s="1548"/>
      <c r="S120" s="1060"/>
      <c r="T120" s="1060"/>
      <c r="U120" s="469"/>
      <c r="V120" s="1060"/>
      <c r="W120" s="1060"/>
      <c r="X120" s="1060"/>
      <c r="Y120" s="1060"/>
      <c r="Z120" s="1060"/>
      <c r="AA120" s="1544"/>
      <c r="AB120" s="491"/>
      <c r="AC120" s="491"/>
      <c r="AD120" s="491"/>
      <c r="AE120" s="491"/>
    </row>
    <row r="121" spans="1:31" s="2013" customFormat="1" ht="11.25" customHeight="1">
      <c r="A121" s="895"/>
      <c r="B121" s="1548"/>
      <c r="C121" s="1548"/>
      <c r="D121" s="276"/>
      <c r="K121" s="1060"/>
      <c r="L121" s="1548"/>
      <c r="M121" s="1548"/>
      <c r="N121" s="1060"/>
      <c r="O121" s="1060"/>
      <c r="P121" s="1060"/>
      <c r="Q121" s="1060"/>
      <c r="R121" s="1548"/>
      <c r="S121" s="1060"/>
      <c r="T121" s="1060"/>
      <c r="U121" s="469"/>
      <c r="V121" s="1060"/>
      <c r="W121" s="1060"/>
      <c r="X121" s="1060"/>
      <c r="Y121" s="1060"/>
      <c r="Z121" s="1060"/>
      <c r="AA121" s="1544"/>
      <c r="AB121" s="491"/>
      <c r="AC121" s="491"/>
      <c r="AD121" s="491"/>
      <c r="AE121" s="491"/>
    </row>
    <row r="122" spans="1:31" s="2013" customFormat="1" ht="11.25" customHeight="1">
      <c r="A122" s="895"/>
      <c r="B122" s="1548"/>
      <c r="C122" s="1548"/>
      <c r="D122" s="276"/>
      <c r="K122" s="1060"/>
      <c r="L122" s="1548"/>
      <c r="M122" s="1548"/>
      <c r="N122" s="1060"/>
      <c r="O122" s="1060"/>
      <c r="P122" s="1060"/>
      <c r="Q122" s="1060"/>
      <c r="R122" s="1548"/>
      <c r="S122" s="1060"/>
      <c r="T122" s="1060"/>
      <c r="U122" s="469"/>
      <c r="V122" s="1060"/>
      <c r="W122" s="1060"/>
      <c r="X122" s="1060"/>
      <c r="Y122" s="1060"/>
      <c r="Z122" s="1060"/>
      <c r="AA122" s="1544"/>
      <c r="AB122" s="491"/>
      <c r="AC122" s="491"/>
      <c r="AD122" s="491"/>
      <c r="AE122" s="491"/>
    </row>
    <row r="123" spans="1:31" s="2013" customFormat="1" ht="11.25" customHeight="1">
      <c r="A123" s="895"/>
      <c r="B123" s="1548"/>
      <c r="C123" s="1548"/>
      <c r="D123" s="276"/>
      <c r="K123" s="1060"/>
      <c r="L123" s="1548"/>
      <c r="M123" s="1548"/>
      <c r="N123" s="1060"/>
      <c r="O123" s="1060"/>
      <c r="P123" s="1060"/>
      <c r="Q123" s="1060"/>
      <c r="R123" s="1548"/>
      <c r="S123" s="1060"/>
      <c r="T123" s="1060"/>
      <c r="U123" s="469"/>
      <c r="V123" s="1060"/>
      <c r="W123" s="1060"/>
      <c r="X123" s="1060"/>
      <c r="Y123" s="1060"/>
      <c r="Z123" s="1060"/>
      <c r="AA123" s="1544"/>
      <c r="AB123" s="491"/>
      <c r="AC123" s="491"/>
      <c r="AD123" s="491"/>
      <c r="AE123" s="491"/>
    </row>
    <row r="124" spans="1:31" s="2013" customFormat="1" ht="11.25" customHeight="1">
      <c r="A124" s="895"/>
      <c r="B124" s="1548"/>
      <c r="C124" s="1548"/>
      <c r="D124" s="276"/>
      <c r="K124" s="1060"/>
      <c r="L124" s="1548"/>
      <c r="M124" s="1548"/>
      <c r="N124" s="1060"/>
      <c r="O124" s="1060"/>
      <c r="P124" s="1060"/>
      <c r="Q124" s="1060"/>
      <c r="R124" s="1548"/>
      <c r="S124" s="1060"/>
      <c r="T124" s="1060"/>
      <c r="U124" s="469"/>
      <c r="V124" s="1060"/>
      <c r="W124" s="1060"/>
      <c r="X124" s="1060"/>
      <c r="Y124" s="1060"/>
      <c r="Z124" s="1060"/>
      <c r="AA124" s="1544"/>
      <c r="AB124" s="491"/>
      <c r="AC124" s="491"/>
      <c r="AD124" s="491"/>
      <c r="AE124" s="491"/>
    </row>
    <row r="125" spans="1:31" s="2013" customFormat="1" ht="11.25" customHeight="1">
      <c r="A125" s="895"/>
      <c r="B125" s="1548"/>
      <c r="C125" s="1548"/>
      <c r="D125" s="276"/>
      <c r="K125" s="1060"/>
      <c r="L125" s="1548"/>
      <c r="M125" s="1548"/>
      <c r="N125" s="1060"/>
      <c r="O125" s="1060"/>
      <c r="P125" s="1060"/>
      <c r="Q125" s="1060"/>
      <c r="R125" s="1548"/>
      <c r="S125" s="1060"/>
      <c r="T125" s="1060"/>
      <c r="U125" s="469"/>
      <c r="V125" s="1060"/>
      <c r="W125" s="1060"/>
      <c r="X125" s="1060"/>
      <c r="Y125" s="1060"/>
      <c r="Z125" s="1060"/>
      <c r="AA125" s="1544"/>
      <c r="AB125" s="491"/>
      <c r="AC125" s="491"/>
      <c r="AD125" s="491"/>
      <c r="AE125" s="491"/>
    </row>
    <row r="126" spans="1:31" s="2013" customFormat="1" ht="11.25" customHeight="1">
      <c r="A126" s="895"/>
      <c r="B126" s="1548"/>
      <c r="C126" s="1548"/>
      <c r="D126" s="276"/>
      <c r="K126" s="1060"/>
      <c r="L126" s="1548"/>
      <c r="M126" s="1548"/>
      <c r="N126" s="1060"/>
      <c r="O126" s="1060"/>
      <c r="P126" s="1060"/>
      <c r="Q126" s="1060"/>
      <c r="R126" s="1548"/>
      <c r="S126" s="1060"/>
      <c r="T126" s="1060"/>
      <c r="U126" s="469"/>
      <c r="V126" s="1060"/>
      <c r="W126" s="1060"/>
      <c r="X126" s="1060"/>
      <c r="Y126" s="1060"/>
      <c r="Z126" s="1060"/>
      <c r="AA126" s="1544"/>
      <c r="AB126" s="491"/>
      <c r="AC126" s="491"/>
      <c r="AD126" s="491"/>
      <c r="AE126" s="491"/>
    </row>
    <row r="127" spans="1:31" s="2013" customFormat="1" ht="11.25" customHeight="1">
      <c r="A127" s="895"/>
      <c r="B127" s="1548"/>
      <c r="C127" s="1548"/>
      <c r="D127" s="276"/>
      <c r="K127" s="1060"/>
      <c r="L127" s="1548"/>
      <c r="M127" s="1548"/>
      <c r="N127" s="1060"/>
      <c r="O127" s="1060"/>
      <c r="P127" s="1060"/>
      <c r="Q127" s="1060"/>
      <c r="R127" s="1548"/>
      <c r="S127" s="1060"/>
      <c r="T127" s="1060"/>
      <c r="U127" s="469"/>
      <c r="V127" s="1060"/>
      <c r="W127" s="1060"/>
      <c r="X127" s="1060"/>
      <c r="Y127" s="1060"/>
      <c r="Z127" s="1060"/>
      <c r="AA127" s="1544"/>
      <c r="AB127" s="491"/>
      <c r="AC127" s="491"/>
      <c r="AD127" s="491"/>
      <c r="AE127" s="491"/>
    </row>
    <row r="128" spans="1:31" s="2013" customFormat="1" ht="11.25" customHeight="1">
      <c r="A128" s="895"/>
      <c r="B128" s="1548"/>
      <c r="C128" s="1548"/>
      <c r="D128" s="276"/>
      <c r="K128" s="1060"/>
      <c r="L128" s="1548"/>
      <c r="M128" s="1548"/>
      <c r="N128" s="1060"/>
      <c r="O128" s="1060"/>
      <c r="P128" s="1060"/>
      <c r="Q128" s="1060"/>
      <c r="R128" s="1548"/>
      <c r="S128" s="1060"/>
      <c r="T128" s="1060"/>
      <c r="U128" s="469"/>
      <c r="V128" s="1060"/>
      <c r="W128" s="1060"/>
      <c r="X128" s="1060"/>
      <c r="Y128" s="1060"/>
      <c r="Z128" s="1060"/>
      <c r="AA128" s="1544"/>
      <c r="AB128" s="491"/>
      <c r="AC128" s="491"/>
      <c r="AD128" s="491"/>
      <c r="AE128" s="491"/>
    </row>
    <row r="129" spans="1:31" s="2013" customFormat="1" ht="11.25" customHeight="1">
      <c r="A129" s="895"/>
      <c r="B129" s="1548"/>
      <c r="C129" s="1548"/>
      <c r="D129" s="276"/>
      <c r="K129" s="1060"/>
      <c r="L129" s="1548"/>
      <c r="M129" s="1548"/>
      <c r="N129" s="1060"/>
      <c r="O129" s="1060"/>
      <c r="P129" s="1060"/>
      <c r="Q129" s="1060"/>
      <c r="R129" s="1548"/>
      <c r="S129" s="1060"/>
      <c r="T129" s="1060"/>
      <c r="U129" s="469"/>
      <c r="V129" s="1060"/>
      <c r="W129" s="1060"/>
      <c r="X129" s="1060"/>
      <c r="Y129" s="1060"/>
      <c r="Z129" s="1060"/>
      <c r="AA129" s="1544"/>
      <c r="AB129" s="491"/>
      <c r="AC129" s="491"/>
      <c r="AD129" s="491"/>
      <c r="AE129" s="491"/>
    </row>
    <row r="130" spans="1:31" s="2013" customFormat="1" ht="11.25" customHeight="1">
      <c r="A130" s="895"/>
      <c r="B130" s="1548"/>
      <c r="C130" s="1548"/>
      <c r="D130" s="276"/>
      <c r="K130" s="1060"/>
      <c r="L130" s="1548"/>
      <c r="M130" s="1548"/>
      <c r="N130" s="1060"/>
      <c r="O130" s="1060"/>
      <c r="P130" s="1060"/>
      <c r="Q130" s="1060"/>
      <c r="R130" s="1548"/>
      <c r="S130" s="1060"/>
      <c r="T130" s="1060"/>
      <c r="U130" s="469"/>
      <c r="V130" s="1060"/>
      <c r="W130" s="1060"/>
      <c r="X130" s="1060"/>
      <c r="Y130" s="1060"/>
      <c r="Z130" s="1060"/>
      <c r="AA130" s="1544"/>
      <c r="AB130" s="491"/>
      <c r="AC130" s="491"/>
      <c r="AD130" s="491"/>
      <c r="AE130" s="491"/>
    </row>
    <row r="131" spans="1:31" s="2013" customFormat="1" ht="11.25" customHeight="1">
      <c r="A131" s="895"/>
      <c r="B131" s="1548"/>
      <c r="C131" s="1548"/>
      <c r="D131" s="276"/>
      <c r="K131" s="1060"/>
      <c r="L131" s="1548"/>
      <c r="M131" s="1548"/>
      <c r="N131" s="1060"/>
      <c r="O131" s="1060"/>
      <c r="P131" s="1060"/>
      <c r="Q131" s="1060"/>
      <c r="R131" s="1548"/>
      <c r="S131" s="1060"/>
      <c r="T131" s="1060"/>
      <c r="U131" s="469"/>
      <c r="V131" s="1060"/>
      <c r="W131" s="1060"/>
      <c r="X131" s="1060"/>
      <c r="Y131" s="1060"/>
      <c r="Z131" s="1060"/>
      <c r="AA131" s="1544"/>
      <c r="AB131" s="491"/>
      <c r="AC131" s="491"/>
      <c r="AD131" s="491"/>
      <c r="AE131" s="491"/>
    </row>
    <row r="132" spans="1:31" s="2013" customFormat="1" ht="11.25" customHeight="1">
      <c r="A132" s="895"/>
      <c r="B132" s="1548"/>
      <c r="C132" s="1548"/>
      <c r="D132" s="276"/>
      <c r="K132" s="1060"/>
      <c r="L132" s="1548"/>
      <c r="M132" s="1548"/>
      <c r="N132" s="1060"/>
      <c r="O132" s="1060"/>
      <c r="P132" s="1060"/>
      <c r="Q132" s="1060"/>
      <c r="R132" s="1548"/>
      <c r="S132" s="1060"/>
      <c r="T132" s="1060"/>
      <c r="U132" s="469"/>
      <c r="V132" s="1060"/>
      <c r="W132" s="1060"/>
      <c r="X132" s="1060"/>
      <c r="Y132" s="1060"/>
      <c r="Z132" s="1060"/>
      <c r="AA132" s="1544"/>
      <c r="AB132" s="491"/>
      <c r="AC132" s="491"/>
      <c r="AD132" s="491"/>
      <c r="AE132" s="491"/>
    </row>
    <row r="133" spans="1:31" s="2013" customFormat="1" ht="11.25" customHeight="1">
      <c r="A133" s="895"/>
      <c r="B133" s="1548"/>
      <c r="C133" s="1548"/>
      <c r="D133" s="276"/>
      <c r="K133" s="1060"/>
      <c r="L133" s="1548"/>
      <c r="M133" s="1548"/>
      <c r="N133" s="1060"/>
      <c r="O133" s="1060"/>
      <c r="P133" s="1060"/>
      <c r="Q133" s="1060"/>
      <c r="R133" s="1548"/>
      <c r="S133" s="1060"/>
      <c r="T133" s="1060"/>
      <c r="U133" s="469"/>
      <c r="V133" s="1060"/>
      <c r="W133" s="1060"/>
      <c r="X133" s="1060"/>
      <c r="Y133" s="1060"/>
      <c r="Z133" s="1060"/>
      <c r="AA133" s="1544"/>
      <c r="AB133" s="491"/>
      <c r="AC133" s="491"/>
      <c r="AD133" s="491"/>
      <c r="AE133" s="491"/>
    </row>
    <row r="134" spans="1:31" s="2013" customFormat="1" ht="11.25" customHeight="1">
      <c r="A134" s="895"/>
      <c r="B134" s="1548"/>
      <c r="C134" s="1548"/>
      <c r="D134" s="276"/>
      <c r="K134" s="1060"/>
      <c r="L134" s="1548"/>
      <c r="M134" s="1548"/>
      <c r="N134" s="1060"/>
      <c r="O134" s="1060"/>
      <c r="P134" s="1060"/>
      <c r="Q134" s="1060"/>
      <c r="R134" s="1548"/>
      <c r="S134" s="1060"/>
      <c r="T134" s="1060"/>
      <c r="U134" s="469"/>
      <c r="V134" s="1060"/>
      <c r="W134" s="1060"/>
      <c r="X134" s="1060"/>
      <c r="Y134" s="1060"/>
      <c r="Z134" s="1060"/>
      <c r="AA134" s="1544"/>
      <c r="AB134" s="491"/>
      <c r="AC134" s="491"/>
      <c r="AD134" s="491"/>
      <c r="AE134" s="491"/>
    </row>
    <row r="135" spans="1:31" s="2013" customFormat="1" ht="11.25" customHeight="1">
      <c r="A135" s="895"/>
      <c r="B135" s="1548"/>
      <c r="C135" s="1548"/>
      <c r="D135" s="276"/>
      <c r="K135" s="1060"/>
      <c r="L135" s="1548"/>
      <c r="M135" s="1548"/>
      <c r="N135" s="1060"/>
      <c r="O135" s="1060"/>
      <c r="P135" s="1060"/>
      <c r="Q135" s="1060"/>
      <c r="R135" s="1548"/>
      <c r="S135" s="1060"/>
      <c r="T135" s="1060"/>
      <c r="U135" s="469"/>
      <c r="V135" s="1060"/>
      <c r="W135" s="1060"/>
      <c r="X135" s="1060"/>
      <c r="Y135" s="1060"/>
      <c r="Z135" s="1060"/>
      <c r="AA135" s="1544"/>
      <c r="AB135" s="491"/>
      <c r="AC135" s="491"/>
      <c r="AD135" s="491"/>
      <c r="AE135" s="491"/>
    </row>
    <row r="136" spans="1:31" s="2013" customFormat="1" ht="11.25" customHeight="1">
      <c r="A136" s="895"/>
      <c r="B136" s="1548"/>
      <c r="C136" s="1548"/>
      <c r="D136" s="276"/>
      <c r="K136" s="1060"/>
      <c r="L136" s="1548"/>
      <c r="M136" s="1548"/>
      <c r="N136" s="1060"/>
      <c r="O136" s="1060"/>
      <c r="P136" s="1060"/>
      <c r="Q136" s="1060"/>
      <c r="R136" s="1548"/>
      <c r="S136" s="1060"/>
      <c r="T136" s="1060"/>
      <c r="U136" s="469"/>
      <c r="V136" s="1060"/>
      <c r="W136" s="1060"/>
      <c r="X136" s="1060"/>
      <c r="Y136" s="1060"/>
      <c r="Z136" s="1060"/>
      <c r="AA136" s="1544"/>
      <c r="AB136" s="491"/>
      <c r="AC136" s="491"/>
      <c r="AD136" s="491"/>
      <c r="AE136" s="491"/>
    </row>
    <row r="137" spans="1:31" s="2013" customFormat="1" ht="11.25" customHeight="1">
      <c r="A137" s="895"/>
      <c r="B137" s="1548"/>
      <c r="C137" s="1548"/>
      <c r="D137" s="276"/>
      <c r="K137" s="1060"/>
      <c r="L137" s="1548"/>
      <c r="M137" s="1548"/>
      <c r="N137" s="1060"/>
      <c r="O137" s="1060"/>
      <c r="P137" s="1060"/>
      <c r="Q137" s="1060"/>
      <c r="R137" s="1548"/>
      <c r="S137" s="1060"/>
      <c r="T137" s="1060"/>
      <c r="U137" s="469"/>
      <c r="V137" s="1060"/>
      <c r="W137" s="1060"/>
      <c r="X137" s="1060"/>
      <c r="Y137" s="1060"/>
      <c r="Z137" s="1060"/>
      <c r="AA137" s="1544"/>
      <c r="AB137" s="491"/>
      <c r="AC137" s="491"/>
      <c r="AD137" s="491"/>
      <c r="AE137" s="491"/>
    </row>
    <row r="138" spans="1:31" s="2013" customFormat="1" ht="11.25" customHeight="1">
      <c r="A138" s="895"/>
      <c r="B138" s="1548"/>
      <c r="C138" s="1548"/>
      <c r="D138" s="276"/>
      <c r="K138" s="1060"/>
      <c r="L138" s="1548"/>
      <c r="M138" s="1548"/>
      <c r="N138" s="1060"/>
      <c r="O138" s="1060"/>
      <c r="P138" s="1060"/>
      <c r="Q138" s="1060"/>
      <c r="R138" s="1548"/>
      <c r="S138" s="1060"/>
      <c r="T138" s="1060"/>
      <c r="U138" s="469"/>
      <c r="V138" s="1060"/>
      <c r="W138" s="1060"/>
      <c r="X138" s="1060"/>
      <c r="Y138" s="1060"/>
      <c r="Z138" s="1060"/>
      <c r="AA138" s="1544"/>
      <c r="AB138" s="491"/>
      <c r="AC138" s="491"/>
      <c r="AD138" s="491"/>
      <c r="AE138" s="491"/>
    </row>
    <row r="139" spans="1:31" s="2013" customFormat="1" ht="11.25" customHeight="1">
      <c r="A139" s="895"/>
      <c r="B139" s="1548"/>
      <c r="C139" s="1548"/>
      <c r="D139" s="276"/>
      <c r="K139" s="1060"/>
      <c r="L139" s="1548"/>
      <c r="M139" s="1548"/>
      <c r="N139" s="1060"/>
      <c r="O139" s="1060"/>
      <c r="P139" s="1060"/>
      <c r="Q139" s="1060"/>
      <c r="R139" s="1548"/>
      <c r="S139" s="1060"/>
      <c r="T139" s="1060"/>
      <c r="U139" s="469"/>
      <c r="V139" s="1060"/>
      <c r="W139" s="1060"/>
      <c r="X139" s="1060"/>
      <c r="Y139" s="1060"/>
      <c r="Z139" s="1060"/>
      <c r="AA139" s="1544"/>
      <c r="AB139" s="491"/>
      <c r="AC139" s="491"/>
      <c r="AD139" s="491"/>
      <c r="AE139" s="491"/>
    </row>
    <row r="140" spans="1:31" s="2013" customFormat="1" ht="11.25" customHeight="1">
      <c r="A140" s="895"/>
      <c r="B140" s="1548"/>
      <c r="C140" s="1548"/>
      <c r="D140" s="276"/>
      <c r="K140" s="1060"/>
      <c r="L140" s="1548"/>
      <c r="M140" s="1548"/>
      <c r="N140" s="1060"/>
      <c r="O140" s="1060"/>
      <c r="P140" s="1060"/>
      <c r="Q140" s="1060"/>
      <c r="R140" s="1548"/>
      <c r="S140" s="1060"/>
      <c r="T140" s="1060"/>
      <c r="U140" s="469"/>
      <c r="V140" s="1060"/>
      <c r="W140" s="1060"/>
      <c r="X140" s="1060"/>
      <c r="Y140" s="1060"/>
      <c r="Z140" s="1060"/>
      <c r="AA140" s="1544"/>
      <c r="AB140" s="491"/>
      <c r="AC140" s="491"/>
      <c r="AD140" s="491"/>
      <c r="AE140" s="491"/>
    </row>
    <row r="141" spans="1:31" s="2013" customFormat="1" ht="11.25" customHeight="1">
      <c r="A141" s="895"/>
      <c r="B141" s="1548"/>
      <c r="C141" s="1548"/>
      <c r="D141" s="276"/>
      <c r="K141" s="1060"/>
      <c r="L141" s="1548"/>
      <c r="M141" s="1548"/>
      <c r="N141" s="1060"/>
      <c r="O141" s="1060"/>
      <c r="P141" s="1060"/>
      <c r="Q141" s="1060"/>
      <c r="R141" s="1548"/>
      <c r="S141" s="1060"/>
      <c r="T141" s="1060"/>
      <c r="U141" s="469"/>
      <c r="V141" s="1060"/>
      <c r="W141" s="1060"/>
      <c r="X141" s="1060"/>
      <c r="Y141" s="1060"/>
      <c r="Z141" s="1060"/>
      <c r="AA141" s="1544"/>
      <c r="AB141" s="491"/>
      <c r="AC141" s="491"/>
      <c r="AD141" s="491"/>
      <c r="AE141" s="491"/>
    </row>
    <row r="142" spans="1:31" s="2013" customFormat="1" ht="11.25" customHeight="1">
      <c r="A142" s="895"/>
      <c r="B142" s="1548"/>
      <c r="C142" s="1548"/>
      <c r="D142" s="276"/>
      <c r="K142" s="1060"/>
      <c r="L142" s="1548"/>
      <c r="M142" s="1548"/>
      <c r="N142" s="1060"/>
      <c r="O142" s="1060"/>
      <c r="P142" s="1060"/>
      <c r="Q142" s="1060"/>
      <c r="R142" s="1548"/>
      <c r="S142" s="1060"/>
      <c r="T142" s="1060"/>
      <c r="U142" s="469"/>
      <c r="V142" s="1060"/>
      <c r="W142" s="1060"/>
      <c r="X142" s="1060"/>
      <c r="Y142" s="1060"/>
      <c r="Z142" s="1060"/>
      <c r="AA142" s="1544"/>
      <c r="AB142" s="491"/>
      <c r="AC142" s="491"/>
      <c r="AD142" s="491"/>
      <c r="AE142" s="491"/>
    </row>
    <row r="143" spans="1:31" s="2013" customFormat="1" ht="11.25" customHeight="1">
      <c r="A143" s="895"/>
      <c r="B143" s="1548"/>
      <c r="C143" s="1548"/>
      <c r="D143" s="276"/>
      <c r="K143" s="1060"/>
      <c r="L143" s="1548"/>
      <c r="M143" s="1548"/>
      <c r="N143" s="1060"/>
      <c r="O143" s="1060"/>
      <c r="P143" s="1060"/>
      <c r="Q143" s="1060"/>
      <c r="R143" s="1548"/>
      <c r="S143" s="1060"/>
      <c r="T143" s="1060"/>
      <c r="U143" s="469"/>
      <c r="V143" s="1060"/>
      <c r="W143" s="1060"/>
      <c r="X143" s="1060"/>
      <c r="Y143" s="1060"/>
      <c r="Z143" s="1060"/>
      <c r="AA143" s="1544"/>
      <c r="AB143" s="491"/>
      <c r="AC143" s="491"/>
      <c r="AD143" s="491"/>
      <c r="AE143" s="491"/>
    </row>
    <row r="144" spans="1:31" s="2013" customFormat="1" ht="11.25" customHeight="1">
      <c r="A144" s="895"/>
      <c r="B144" s="1548"/>
      <c r="C144" s="1548"/>
      <c r="D144" s="276"/>
      <c r="K144" s="1060"/>
      <c r="L144" s="1548"/>
      <c r="M144" s="1548"/>
      <c r="N144" s="1060"/>
      <c r="O144" s="1060"/>
      <c r="P144" s="1060"/>
      <c r="Q144" s="1060"/>
      <c r="R144" s="1548"/>
      <c r="S144" s="1060"/>
      <c r="T144" s="1060"/>
      <c r="U144" s="469"/>
      <c r="V144" s="1060"/>
      <c r="W144" s="1060"/>
      <c r="X144" s="1060"/>
      <c r="Y144" s="1060"/>
      <c r="Z144" s="1060"/>
      <c r="AA144" s="1544"/>
      <c r="AB144" s="491"/>
      <c r="AC144" s="491"/>
      <c r="AD144" s="491"/>
      <c r="AE144" s="491"/>
    </row>
    <row r="145" spans="1:31" s="2013" customFormat="1" ht="11.25" customHeight="1">
      <c r="A145" s="895"/>
      <c r="B145" s="1548"/>
      <c r="C145" s="1548"/>
      <c r="D145" s="276"/>
      <c r="K145" s="1060"/>
      <c r="L145" s="1548"/>
      <c r="M145" s="1548"/>
      <c r="N145" s="1060"/>
      <c r="O145" s="1060"/>
      <c r="P145" s="1060"/>
      <c r="Q145" s="1060"/>
      <c r="R145" s="1548"/>
      <c r="S145" s="1060"/>
      <c r="T145" s="1060"/>
      <c r="U145" s="469"/>
      <c r="V145" s="1060"/>
      <c r="W145" s="1060"/>
      <c r="X145" s="1060"/>
      <c r="Y145" s="1060"/>
      <c r="Z145" s="1060"/>
      <c r="AA145" s="1544"/>
      <c r="AB145" s="491"/>
      <c r="AC145" s="491"/>
      <c r="AD145" s="491"/>
      <c r="AE145" s="491"/>
    </row>
    <row r="146" spans="1:31" s="2013" customFormat="1" ht="11.25" customHeight="1">
      <c r="A146" s="895"/>
      <c r="B146" s="1548"/>
      <c r="C146" s="1548"/>
      <c r="D146" s="276"/>
      <c r="K146" s="1060"/>
      <c r="L146" s="1548"/>
      <c r="M146" s="1548"/>
      <c r="N146" s="1060"/>
      <c r="O146" s="1060"/>
      <c r="P146" s="1060"/>
      <c r="Q146" s="1060"/>
      <c r="R146" s="1548"/>
      <c r="S146" s="1060"/>
      <c r="T146" s="1060"/>
      <c r="U146" s="469"/>
      <c r="V146" s="1060"/>
      <c r="W146" s="1060"/>
      <c r="X146" s="1060"/>
      <c r="Y146" s="1060"/>
      <c r="Z146" s="1060"/>
      <c r="AA146" s="1544"/>
      <c r="AB146" s="491"/>
      <c r="AC146" s="491"/>
      <c r="AD146" s="491"/>
      <c r="AE146" s="491"/>
    </row>
    <row r="147" spans="1:31" s="2013" customFormat="1" ht="11.25" customHeight="1">
      <c r="A147" s="895"/>
      <c r="B147" s="1548"/>
      <c r="C147" s="1548"/>
      <c r="D147" s="276"/>
      <c r="K147" s="1060"/>
      <c r="L147" s="1548"/>
      <c r="M147" s="1548"/>
      <c r="N147" s="1060"/>
      <c r="O147" s="1060"/>
      <c r="P147" s="1060"/>
      <c r="Q147" s="1060"/>
      <c r="R147" s="1548"/>
      <c r="S147" s="1060"/>
      <c r="T147" s="1060"/>
      <c r="U147" s="469"/>
      <c r="V147" s="1060"/>
      <c r="W147" s="1060"/>
      <c r="X147" s="1060"/>
      <c r="Y147" s="1060"/>
      <c r="Z147" s="1060"/>
      <c r="AA147" s="1544"/>
      <c r="AB147" s="491"/>
      <c r="AC147" s="491"/>
      <c r="AD147" s="491"/>
      <c r="AE147" s="491"/>
    </row>
    <row r="148" spans="1:31" s="2013" customFormat="1" ht="11.25" customHeight="1">
      <c r="A148" s="895"/>
      <c r="B148" s="1548"/>
      <c r="C148" s="1548"/>
      <c r="D148" s="276"/>
      <c r="K148" s="1060"/>
      <c r="L148" s="1548"/>
      <c r="M148" s="1548"/>
      <c r="N148" s="1060"/>
      <c r="O148" s="1060"/>
      <c r="P148" s="1060"/>
      <c r="Q148" s="1060"/>
      <c r="R148" s="1548"/>
      <c r="S148" s="1060"/>
      <c r="T148" s="1060"/>
      <c r="U148" s="469"/>
      <c r="V148" s="1060"/>
      <c r="W148" s="1060"/>
      <c r="X148" s="1060"/>
      <c r="Y148" s="1060"/>
      <c r="Z148" s="1060"/>
      <c r="AA148" s="1544"/>
      <c r="AB148" s="491"/>
      <c r="AC148" s="491"/>
      <c r="AD148" s="491"/>
      <c r="AE148" s="491"/>
    </row>
    <row r="149" spans="1:31" s="2013" customFormat="1" ht="11.25" customHeight="1">
      <c r="A149" s="895"/>
      <c r="B149" s="1548"/>
      <c r="C149" s="1548"/>
      <c r="D149" s="276"/>
      <c r="K149" s="1060"/>
      <c r="L149" s="1548"/>
      <c r="M149" s="1548"/>
      <c r="N149" s="1060"/>
      <c r="O149" s="1060"/>
      <c r="P149" s="1060"/>
      <c r="Q149" s="1060"/>
      <c r="R149" s="1548"/>
      <c r="S149" s="1060"/>
      <c r="T149" s="1060"/>
      <c r="U149" s="469"/>
      <c r="V149" s="1060"/>
      <c r="W149" s="1060"/>
      <c r="X149" s="1060"/>
      <c r="Y149" s="1060"/>
      <c r="Z149" s="1060"/>
      <c r="AA149" s="1544"/>
      <c r="AB149" s="491"/>
      <c r="AC149" s="491"/>
      <c r="AD149" s="491"/>
      <c r="AE149" s="491"/>
    </row>
    <row r="150" spans="1:31" s="2013" customFormat="1" ht="11.25" customHeight="1">
      <c r="A150" s="895"/>
      <c r="B150" s="1548"/>
      <c r="C150" s="1548"/>
      <c r="D150" s="276"/>
      <c r="K150" s="1060"/>
      <c r="L150" s="1548"/>
      <c r="M150" s="1548"/>
      <c r="N150" s="1060"/>
      <c r="O150" s="1060"/>
      <c r="P150" s="1060"/>
      <c r="Q150" s="1060"/>
      <c r="R150" s="1548"/>
      <c r="S150" s="1060"/>
      <c r="T150" s="1060"/>
      <c r="U150" s="469"/>
      <c r="V150" s="1060"/>
      <c r="W150" s="1060"/>
      <c r="X150" s="1060"/>
      <c r="Y150" s="1060"/>
      <c r="Z150" s="1060"/>
      <c r="AA150" s="1544"/>
      <c r="AB150" s="491"/>
      <c r="AC150" s="491"/>
      <c r="AD150" s="491"/>
      <c r="AE150" s="491"/>
    </row>
    <row r="151" spans="1:31" s="2013" customFormat="1" ht="11.25" customHeight="1">
      <c r="A151" s="895"/>
      <c r="B151" s="1548"/>
      <c r="C151" s="1548"/>
      <c r="D151" s="276"/>
      <c r="K151" s="1060"/>
      <c r="L151" s="1548"/>
      <c r="M151" s="1548"/>
      <c r="N151" s="1060"/>
      <c r="O151" s="1060"/>
      <c r="P151" s="1060"/>
      <c r="Q151" s="1060"/>
      <c r="R151" s="1548"/>
      <c r="S151" s="1060"/>
      <c r="T151" s="1060"/>
      <c r="U151" s="469"/>
      <c r="V151" s="1060"/>
      <c r="W151" s="1060"/>
      <c r="X151" s="1060"/>
      <c r="Y151" s="1060"/>
      <c r="Z151" s="1060"/>
      <c r="AA151" s="1544"/>
      <c r="AB151" s="491"/>
      <c r="AC151" s="491"/>
      <c r="AD151" s="491"/>
      <c r="AE151" s="491"/>
    </row>
    <row r="152" spans="1:31" s="2013" customFormat="1" ht="11.25" customHeight="1">
      <c r="A152" s="895"/>
      <c r="B152" s="1548"/>
      <c r="C152" s="1548"/>
      <c r="D152" s="276"/>
      <c r="K152" s="1060"/>
      <c r="L152" s="1548"/>
      <c r="M152" s="1548"/>
      <c r="N152" s="1060"/>
      <c r="O152" s="1060"/>
      <c r="P152" s="1060"/>
      <c r="Q152" s="1060"/>
      <c r="R152" s="1548"/>
      <c r="S152" s="1060"/>
      <c r="T152" s="1060"/>
      <c r="U152" s="469"/>
      <c r="V152" s="1060"/>
      <c r="W152" s="1060"/>
      <c r="X152" s="1060"/>
      <c r="Y152" s="1060"/>
      <c r="Z152" s="1060"/>
      <c r="AA152" s="1544"/>
      <c r="AB152" s="491"/>
      <c r="AC152" s="491"/>
      <c r="AD152" s="491"/>
      <c r="AE152" s="491"/>
    </row>
    <row r="153" spans="1:31" s="2013" customFormat="1" ht="11.25" customHeight="1">
      <c r="A153" s="895"/>
      <c r="B153" s="1548"/>
      <c r="C153" s="1548"/>
      <c r="D153" s="276"/>
      <c r="K153" s="1060"/>
      <c r="L153" s="1548"/>
      <c r="M153" s="1548"/>
      <c r="N153" s="1060"/>
      <c r="O153" s="1060"/>
      <c r="P153" s="1060"/>
      <c r="Q153" s="1060"/>
      <c r="R153" s="1548"/>
      <c r="S153" s="1060"/>
      <c r="T153" s="1060"/>
      <c r="U153" s="469"/>
      <c r="V153" s="1060"/>
      <c r="W153" s="1060"/>
      <c r="X153" s="1060"/>
      <c r="Y153" s="1060"/>
      <c r="Z153" s="1060"/>
      <c r="AA153" s="1544"/>
      <c r="AB153" s="491"/>
      <c r="AC153" s="491"/>
      <c r="AD153" s="491"/>
      <c r="AE153" s="491"/>
    </row>
    <row r="154" spans="1:31" s="2013" customFormat="1" ht="11.25" customHeight="1">
      <c r="A154" s="895"/>
      <c r="B154" s="1548"/>
      <c r="C154" s="1548"/>
      <c r="D154" s="276"/>
      <c r="K154" s="1060"/>
      <c r="L154" s="1548"/>
      <c r="M154" s="1548"/>
      <c r="N154" s="1060"/>
      <c r="O154" s="1060"/>
      <c r="P154" s="1060"/>
      <c r="Q154" s="1060"/>
      <c r="R154" s="1548"/>
      <c r="S154" s="1060"/>
      <c r="T154" s="1060"/>
      <c r="U154" s="469"/>
      <c r="V154" s="1060"/>
      <c r="W154" s="1060"/>
      <c r="X154" s="1060"/>
      <c r="Y154" s="1060"/>
      <c r="Z154" s="1060"/>
      <c r="AA154" s="1544"/>
      <c r="AB154" s="491"/>
      <c r="AC154" s="491"/>
      <c r="AD154" s="491"/>
      <c r="AE154" s="491"/>
    </row>
    <row r="155" spans="1:31" s="2013" customFormat="1" ht="11.25" customHeight="1">
      <c r="A155" s="895"/>
      <c r="B155" s="1548"/>
      <c r="C155" s="1548"/>
      <c r="D155" s="276"/>
      <c r="K155" s="1060"/>
      <c r="L155" s="1548"/>
      <c r="M155" s="1548"/>
      <c r="N155" s="1060"/>
      <c r="O155" s="1060"/>
      <c r="P155" s="1060"/>
      <c r="Q155" s="1060"/>
      <c r="R155" s="1548"/>
      <c r="S155" s="1060"/>
      <c r="T155" s="1060"/>
      <c r="U155" s="469"/>
      <c r="V155" s="1060"/>
      <c r="W155" s="1060"/>
      <c r="X155" s="1060"/>
      <c r="Y155" s="1060"/>
      <c r="Z155" s="1060"/>
      <c r="AA155" s="1544"/>
      <c r="AB155" s="491"/>
      <c r="AC155" s="491"/>
      <c r="AD155" s="491"/>
      <c r="AE155" s="491"/>
    </row>
    <row r="156" spans="1:31" s="2013" customFormat="1" ht="11.25" customHeight="1">
      <c r="A156" s="895"/>
      <c r="B156" s="1548"/>
      <c r="C156" s="1548"/>
      <c r="D156" s="276"/>
      <c r="K156" s="1060"/>
      <c r="L156" s="1548"/>
      <c r="M156" s="1548"/>
      <c r="N156" s="1060"/>
      <c r="O156" s="1060"/>
      <c r="P156" s="1060"/>
      <c r="Q156" s="1060"/>
      <c r="R156" s="1548"/>
      <c r="S156" s="1060"/>
      <c r="T156" s="1060"/>
      <c r="U156" s="469"/>
      <c r="V156" s="1060"/>
      <c r="W156" s="1060"/>
      <c r="X156" s="1060"/>
      <c r="Y156" s="1060"/>
      <c r="Z156" s="1060"/>
      <c r="AA156" s="1544"/>
      <c r="AB156" s="491"/>
      <c r="AC156" s="491"/>
      <c r="AD156" s="491"/>
      <c r="AE156" s="491"/>
    </row>
    <row r="157" spans="1:31" s="2013" customFormat="1" ht="11.25" customHeight="1">
      <c r="A157" s="895"/>
      <c r="B157" s="1548"/>
      <c r="C157" s="1548"/>
      <c r="D157" s="276"/>
      <c r="K157" s="1060"/>
      <c r="L157" s="1548"/>
      <c r="M157" s="1548"/>
      <c r="N157" s="1060"/>
      <c r="O157" s="1060"/>
      <c r="P157" s="1060"/>
      <c r="Q157" s="1060"/>
      <c r="R157" s="1548"/>
      <c r="S157" s="1060"/>
      <c r="T157" s="1060"/>
      <c r="U157" s="469"/>
      <c r="V157" s="1060"/>
      <c r="W157" s="1060"/>
      <c r="X157" s="1060"/>
      <c r="Y157" s="1060"/>
      <c r="Z157" s="1060"/>
      <c r="AA157" s="1544"/>
      <c r="AB157" s="491"/>
      <c r="AC157" s="491"/>
      <c r="AD157" s="491"/>
      <c r="AE157" s="491"/>
    </row>
    <row r="158" spans="1:31" s="2013" customFormat="1" ht="11.25" customHeight="1">
      <c r="A158" s="895"/>
      <c r="B158" s="1548"/>
      <c r="C158" s="1548"/>
      <c r="D158" s="276"/>
      <c r="K158" s="1060"/>
      <c r="L158" s="1548"/>
      <c r="M158" s="1548"/>
      <c r="N158" s="1060"/>
      <c r="O158" s="1060"/>
      <c r="P158" s="1060"/>
      <c r="Q158" s="1060"/>
      <c r="R158" s="1548"/>
      <c r="S158" s="1060"/>
      <c r="T158" s="1060"/>
      <c r="U158" s="469"/>
      <c r="V158" s="1060"/>
      <c r="W158" s="1060"/>
      <c r="X158" s="1060"/>
      <c r="Y158" s="1060"/>
      <c r="Z158" s="1060"/>
      <c r="AA158" s="1544"/>
      <c r="AB158" s="491"/>
      <c r="AC158" s="491"/>
      <c r="AD158" s="491"/>
      <c r="AE158" s="491"/>
    </row>
    <row r="159" spans="1:31" s="2013" customFormat="1" ht="11.25" customHeight="1">
      <c r="A159" s="895"/>
      <c r="B159" s="1548"/>
      <c r="C159" s="1548"/>
      <c r="D159" s="276"/>
      <c r="K159" s="1060"/>
      <c r="L159" s="1548"/>
      <c r="M159" s="1548"/>
      <c r="N159" s="1060"/>
      <c r="O159" s="1060"/>
      <c r="P159" s="1060"/>
      <c r="Q159" s="1060"/>
      <c r="R159" s="1548"/>
      <c r="S159" s="1060"/>
      <c r="T159" s="1060"/>
      <c r="U159" s="469"/>
      <c r="V159" s="1060"/>
      <c r="W159" s="1060"/>
      <c r="X159" s="1060"/>
      <c r="Y159" s="1060"/>
      <c r="Z159" s="1060"/>
      <c r="AA159" s="1544"/>
      <c r="AB159" s="491"/>
      <c r="AC159" s="491"/>
      <c r="AD159" s="491"/>
      <c r="AE159" s="491"/>
    </row>
    <row r="160" spans="1:31" s="2013" customFormat="1" ht="11.25" customHeight="1">
      <c r="A160" s="895"/>
      <c r="B160" s="1548"/>
      <c r="C160" s="1548"/>
      <c r="D160" s="276"/>
      <c r="K160" s="1060"/>
      <c r="L160" s="1548"/>
      <c r="M160" s="1548"/>
      <c r="N160" s="1060"/>
      <c r="O160" s="1060"/>
      <c r="P160" s="1060"/>
      <c r="Q160" s="1060"/>
      <c r="R160" s="1548"/>
      <c r="S160" s="1060"/>
      <c r="T160" s="1060"/>
      <c r="U160" s="469"/>
      <c r="V160" s="1060"/>
      <c r="W160" s="1060"/>
      <c r="X160" s="1060"/>
      <c r="Y160" s="1060"/>
      <c r="Z160" s="1060"/>
      <c r="AA160" s="1544"/>
      <c r="AB160" s="491"/>
      <c r="AC160" s="491"/>
      <c r="AD160" s="491"/>
      <c r="AE160" s="491"/>
    </row>
    <row r="161" spans="1:31" s="2013" customFormat="1" ht="11.25" customHeight="1">
      <c r="A161" s="895"/>
      <c r="B161" s="1548"/>
      <c r="C161" s="1548"/>
      <c r="D161" s="276"/>
      <c r="K161" s="1060"/>
      <c r="L161" s="1548"/>
      <c r="M161" s="1548"/>
      <c r="N161" s="1060"/>
      <c r="O161" s="1060"/>
      <c r="P161" s="1060"/>
      <c r="Q161" s="1060"/>
      <c r="R161" s="1548"/>
      <c r="S161" s="1060"/>
      <c r="T161" s="1060"/>
      <c r="U161" s="469"/>
      <c r="V161" s="1060"/>
      <c r="W161" s="1060"/>
      <c r="X161" s="1060"/>
      <c r="Y161" s="1060"/>
      <c r="Z161" s="1060"/>
      <c r="AA161" s="1544"/>
      <c r="AB161" s="491"/>
      <c r="AC161" s="491"/>
      <c r="AD161" s="491"/>
      <c r="AE161" s="491"/>
    </row>
    <row r="162" spans="1:31" s="2013" customFormat="1" ht="11.25" customHeight="1">
      <c r="A162" s="895"/>
      <c r="B162" s="1548"/>
      <c r="C162" s="1548"/>
      <c r="D162" s="276"/>
      <c r="K162" s="1060"/>
      <c r="L162" s="1548"/>
      <c r="M162" s="1548"/>
      <c r="N162" s="1060"/>
      <c r="O162" s="1060"/>
      <c r="P162" s="1060"/>
      <c r="Q162" s="1060"/>
      <c r="R162" s="1548"/>
      <c r="S162" s="1060"/>
      <c r="T162" s="1060"/>
      <c r="U162" s="469"/>
      <c r="V162" s="1060"/>
      <c r="W162" s="1060"/>
      <c r="X162" s="1060"/>
      <c r="Y162" s="1060"/>
      <c r="Z162" s="1060"/>
      <c r="AA162" s="1544"/>
      <c r="AB162" s="491"/>
      <c r="AC162" s="491"/>
      <c r="AD162" s="491"/>
      <c r="AE162" s="491"/>
    </row>
    <row r="163" spans="1:31" s="2013" customFormat="1" ht="11.25" customHeight="1">
      <c r="A163" s="895"/>
      <c r="B163" s="1548"/>
      <c r="C163" s="1548"/>
      <c r="D163" s="276"/>
      <c r="K163" s="1060"/>
      <c r="L163" s="1548"/>
      <c r="M163" s="1548"/>
      <c r="N163" s="1060"/>
      <c r="O163" s="1060"/>
      <c r="P163" s="1060"/>
      <c r="Q163" s="1060"/>
      <c r="R163" s="1548"/>
      <c r="S163" s="1060"/>
      <c r="T163" s="1060"/>
      <c r="U163" s="469"/>
      <c r="V163" s="1060"/>
      <c r="W163" s="1060"/>
      <c r="X163" s="1060"/>
      <c r="Y163" s="1060"/>
      <c r="Z163" s="1060"/>
      <c r="AA163" s="1544"/>
      <c r="AB163" s="491"/>
      <c r="AC163" s="491"/>
      <c r="AD163" s="491"/>
      <c r="AE163" s="491"/>
    </row>
    <row r="164" spans="1:31" s="2013" customFormat="1" ht="11.25" customHeight="1">
      <c r="A164" s="895"/>
      <c r="B164" s="1548"/>
      <c r="C164" s="1548"/>
      <c r="D164" s="276"/>
      <c r="K164" s="1060"/>
      <c r="L164" s="1548"/>
      <c r="M164" s="1548"/>
      <c r="N164" s="1060"/>
      <c r="O164" s="1060"/>
      <c r="P164" s="1060"/>
      <c r="Q164" s="1060"/>
      <c r="R164" s="1548"/>
      <c r="S164" s="1060"/>
      <c r="T164" s="1060"/>
      <c r="U164" s="469"/>
      <c r="V164" s="1060"/>
      <c r="W164" s="1060"/>
      <c r="X164" s="1060"/>
      <c r="Y164" s="1060"/>
      <c r="Z164" s="1060"/>
      <c r="AA164" s="1544"/>
      <c r="AB164" s="491"/>
      <c r="AC164" s="491"/>
      <c r="AD164" s="491"/>
      <c r="AE164" s="491"/>
    </row>
    <row r="165" spans="1:31" s="2013" customFormat="1" ht="11.25" customHeight="1">
      <c r="A165" s="895"/>
      <c r="B165" s="1548"/>
      <c r="C165" s="1548"/>
      <c r="D165" s="276"/>
      <c r="K165" s="1060"/>
      <c r="L165" s="1548"/>
      <c r="M165" s="1548"/>
      <c r="N165" s="1060"/>
      <c r="O165" s="1060"/>
      <c r="P165" s="1060"/>
      <c r="Q165" s="1060"/>
      <c r="R165" s="1548"/>
      <c r="S165" s="1060"/>
      <c r="T165" s="1060"/>
      <c r="U165" s="469"/>
      <c r="V165" s="1060"/>
      <c r="W165" s="1060"/>
      <c r="X165" s="1060"/>
      <c r="Y165" s="1060"/>
      <c r="Z165" s="1060"/>
      <c r="AA165" s="1544"/>
      <c r="AB165" s="491"/>
      <c r="AC165" s="491"/>
      <c r="AD165" s="491"/>
      <c r="AE165" s="491"/>
    </row>
    <row r="166" spans="1:31" s="2013" customFormat="1" ht="11.25" customHeight="1">
      <c r="A166" s="895"/>
      <c r="B166" s="1548"/>
      <c r="C166" s="1548"/>
      <c r="D166" s="276"/>
      <c r="K166" s="1060"/>
      <c r="L166" s="1548"/>
      <c r="M166" s="1548"/>
      <c r="N166" s="1060"/>
      <c r="O166" s="1060"/>
      <c r="P166" s="1060"/>
      <c r="Q166" s="1060"/>
      <c r="R166" s="1548"/>
      <c r="S166" s="1060"/>
      <c r="T166" s="1060"/>
      <c r="U166" s="469"/>
      <c r="V166" s="1060"/>
      <c r="W166" s="1060"/>
      <c r="X166" s="1060"/>
      <c r="Y166" s="1060"/>
      <c r="Z166" s="1060"/>
      <c r="AA166" s="1544"/>
      <c r="AB166" s="491"/>
      <c r="AC166" s="491"/>
      <c r="AD166" s="491"/>
      <c r="AE166" s="491"/>
    </row>
    <row r="167" spans="1:31" s="2013" customFormat="1" ht="11.25" customHeight="1">
      <c r="A167" s="895"/>
      <c r="B167" s="1548"/>
      <c r="C167" s="1548"/>
      <c r="D167" s="276"/>
      <c r="K167" s="1060"/>
      <c r="L167" s="1548"/>
      <c r="M167" s="1548"/>
      <c r="N167" s="1060"/>
      <c r="O167" s="1060"/>
      <c r="P167" s="1060"/>
      <c r="Q167" s="1060"/>
      <c r="R167" s="1548"/>
      <c r="S167" s="1060"/>
      <c r="T167" s="1060"/>
      <c r="U167" s="469"/>
      <c r="V167" s="1060"/>
      <c r="W167" s="1060"/>
      <c r="X167" s="1060"/>
      <c r="Y167" s="1060"/>
      <c r="Z167" s="1060"/>
      <c r="AA167" s="1544"/>
      <c r="AB167" s="491"/>
      <c r="AC167" s="491"/>
      <c r="AD167" s="491"/>
      <c r="AE167" s="491"/>
    </row>
    <row r="168" spans="1:31" s="2013" customFormat="1" ht="11.25" customHeight="1">
      <c r="A168" s="895"/>
      <c r="B168" s="1548"/>
      <c r="C168" s="1548"/>
      <c r="D168" s="276"/>
      <c r="K168" s="1060"/>
      <c r="L168" s="1548"/>
      <c r="M168" s="1548"/>
      <c r="N168" s="1060"/>
      <c r="O168" s="1060"/>
      <c r="P168" s="1060"/>
      <c r="Q168" s="1060"/>
      <c r="R168" s="1548"/>
      <c r="S168" s="1060"/>
      <c r="T168" s="1060"/>
      <c r="U168" s="469"/>
      <c r="V168" s="1060"/>
      <c r="W168" s="1060"/>
      <c r="X168" s="1060"/>
      <c r="Y168" s="1060"/>
      <c r="Z168" s="1060"/>
      <c r="AA168" s="1544"/>
      <c r="AB168" s="491"/>
      <c r="AC168" s="491"/>
      <c r="AD168" s="491"/>
      <c r="AE168" s="491"/>
    </row>
    <row r="169" spans="1:31" s="2013" customFormat="1" ht="11.25" customHeight="1">
      <c r="A169" s="895"/>
      <c r="B169" s="1548"/>
      <c r="C169" s="1548"/>
      <c r="D169" s="276"/>
      <c r="K169" s="1060"/>
      <c r="L169" s="1548"/>
      <c r="M169" s="1548"/>
      <c r="N169" s="1060"/>
      <c r="O169" s="1060"/>
      <c r="P169" s="1060"/>
      <c r="Q169" s="1060"/>
      <c r="R169" s="1548"/>
      <c r="S169" s="1060"/>
      <c r="T169" s="1060"/>
      <c r="U169" s="469"/>
      <c r="V169" s="1060"/>
      <c r="W169" s="1060"/>
      <c r="X169" s="1060"/>
      <c r="Y169" s="1060"/>
      <c r="Z169" s="1060"/>
      <c r="AA169" s="1544"/>
      <c r="AB169" s="491"/>
      <c r="AC169" s="491"/>
      <c r="AD169" s="491"/>
      <c r="AE169" s="491"/>
    </row>
    <row r="170" spans="1:31" s="2013" customFormat="1" ht="11.25" customHeight="1">
      <c r="A170" s="895"/>
      <c r="B170" s="1548"/>
      <c r="C170" s="1548"/>
      <c r="D170" s="276"/>
      <c r="K170" s="1060"/>
      <c r="L170" s="1548"/>
      <c r="M170" s="1548"/>
      <c r="N170" s="1060"/>
      <c r="O170" s="1060"/>
      <c r="P170" s="1060"/>
      <c r="Q170" s="1060"/>
      <c r="R170" s="1548"/>
      <c r="S170" s="1060"/>
      <c r="T170" s="1060"/>
      <c r="U170" s="469"/>
      <c r="V170" s="1060"/>
      <c r="W170" s="1060"/>
      <c r="X170" s="1060"/>
      <c r="Y170" s="1060"/>
      <c r="Z170" s="1060"/>
      <c r="AA170" s="1544"/>
      <c r="AB170" s="491"/>
      <c r="AC170" s="491"/>
      <c r="AD170" s="491"/>
      <c r="AE170" s="491"/>
    </row>
    <row r="171" spans="1:31" s="2013" customFormat="1" ht="11.25" customHeight="1">
      <c r="A171" s="895"/>
      <c r="B171" s="1548"/>
      <c r="C171" s="1548"/>
      <c r="D171" s="276"/>
      <c r="K171" s="1060"/>
      <c r="L171" s="1548"/>
      <c r="M171" s="1548"/>
      <c r="N171" s="1060"/>
      <c r="O171" s="1060"/>
      <c r="P171" s="1060"/>
      <c r="Q171" s="1060"/>
      <c r="R171" s="1548"/>
      <c r="S171" s="1060"/>
      <c r="T171" s="1060"/>
      <c r="U171" s="469"/>
      <c r="V171" s="1060"/>
      <c r="W171" s="1060"/>
      <c r="X171" s="1060"/>
      <c r="Y171" s="1060"/>
      <c r="Z171" s="1060"/>
      <c r="AA171" s="1544"/>
      <c r="AB171" s="491"/>
      <c r="AC171" s="491"/>
      <c r="AD171" s="491"/>
      <c r="AE171" s="491"/>
    </row>
    <row r="172" spans="1:31" s="2013" customFormat="1" ht="11.25" customHeight="1">
      <c r="A172" s="895"/>
      <c r="B172" s="1548"/>
      <c r="C172" s="1548"/>
      <c r="D172" s="276"/>
      <c r="K172" s="1060"/>
      <c r="L172" s="1548"/>
      <c r="M172" s="1548"/>
      <c r="N172" s="1060"/>
      <c r="O172" s="1060"/>
      <c r="P172" s="1060"/>
      <c r="Q172" s="1060"/>
      <c r="R172" s="1548"/>
      <c r="S172" s="1060"/>
      <c r="T172" s="1060"/>
      <c r="U172" s="469"/>
      <c r="V172" s="1060"/>
      <c r="W172" s="1060"/>
      <c r="X172" s="1060"/>
      <c r="Y172" s="1060"/>
      <c r="Z172" s="1060"/>
      <c r="AA172" s="1544"/>
      <c r="AB172" s="491"/>
      <c r="AC172" s="491"/>
      <c r="AD172" s="491"/>
      <c r="AE172" s="491"/>
    </row>
    <row r="173" spans="1:31" s="2013" customFormat="1" ht="11.25" customHeight="1">
      <c r="A173" s="895"/>
      <c r="B173" s="1548"/>
      <c r="C173" s="1548"/>
      <c r="D173" s="276"/>
      <c r="K173" s="1060"/>
      <c r="L173" s="1548"/>
      <c r="M173" s="1548"/>
      <c r="N173" s="1060"/>
      <c r="O173" s="1060"/>
      <c r="P173" s="1060"/>
      <c r="Q173" s="1060"/>
      <c r="R173" s="1548"/>
      <c r="S173" s="1060"/>
      <c r="T173" s="1060"/>
      <c r="U173" s="469"/>
      <c r="V173" s="1060"/>
      <c r="W173" s="1060"/>
      <c r="X173" s="1060"/>
      <c r="Y173" s="1060"/>
      <c r="Z173" s="1060"/>
      <c r="AA173" s="1544"/>
      <c r="AB173" s="491"/>
      <c r="AC173" s="491"/>
      <c r="AD173" s="491"/>
      <c r="AE173" s="491"/>
    </row>
    <row r="174" spans="1:31" s="2013" customFormat="1" ht="11.25" customHeight="1">
      <c r="A174" s="895"/>
      <c r="B174" s="1548"/>
      <c r="C174" s="1548"/>
      <c r="D174" s="276"/>
      <c r="K174" s="1060"/>
      <c r="L174" s="1548"/>
      <c r="M174" s="1548"/>
      <c r="N174" s="1060"/>
      <c r="O174" s="1060"/>
      <c r="P174" s="1060"/>
      <c r="Q174" s="1060"/>
      <c r="R174" s="1548"/>
      <c r="S174" s="1060"/>
      <c r="T174" s="1060"/>
      <c r="U174" s="469"/>
      <c r="V174" s="1060"/>
      <c r="W174" s="1060"/>
      <c r="X174" s="1060"/>
      <c r="Y174" s="1060"/>
      <c r="Z174" s="1060"/>
      <c r="AA174" s="1544"/>
      <c r="AB174" s="491"/>
      <c r="AC174" s="491"/>
      <c r="AD174" s="491"/>
      <c r="AE174" s="491"/>
    </row>
    <row r="175" spans="1:31" s="2013" customFormat="1" ht="11.25" customHeight="1">
      <c r="A175" s="895"/>
      <c r="B175" s="1548"/>
      <c r="C175" s="1548"/>
      <c r="D175" s="276"/>
      <c r="K175" s="1060"/>
      <c r="L175" s="1548"/>
      <c r="M175" s="1548"/>
      <c r="N175" s="1060"/>
      <c r="O175" s="1060"/>
      <c r="P175" s="1060"/>
      <c r="Q175" s="1060"/>
      <c r="R175" s="1548"/>
      <c r="S175" s="1060"/>
      <c r="T175" s="1060"/>
      <c r="U175" s="469"/>
      <c r="V175" s="1060"/>
      <c r="W175" s="1060"/>
      <c r="X175" s="1060"/>
      <c r="Y175" s="1060"/>
      <c r="Z175" s="1060"/>
      <c r="AA175" s="1544"/>
      <c r="AB175" s="491"/>
      <c r="AC175" s="491"/>
      <c r="AD175" s="491"/>
      <c r="AE175" s="491"/>
    </row>
    <row r="176" spans="1:31" s="2013" customFormat="1" ht="11.25" customHeight="1">
      <c r="A176" s="895"/>
      <c r="B176" s="1548"/>
      <c r="C176" s="1548"/>
      <c r="D176" s="276"/>
      <c r="K176" s="1060"/>
      <c r="L176" s="1548"/>
      <c r="M176" s="1548"/>
      <c r="N176" s="1060"/>
      <c r="O176" s="1060"/>
      <c r="P176" s="1060"/>
      <c r="Q176" s="1060"/>
      <c r="R176" s="1548"/>
      <c r="S176" s="1060"/>
      <c r="T176" s="1060"/>
      <c r="U176" s="469"/>
      <c r="V176" s="1060"/>
      <c r="W176" s="1060"/>
      <c r="X176" s="1060"/>
      <c r="Y176" s="1060"/>
      <c r="Z176" s="1060"/>
      <c r="AA176" s="1544"/>
      <c r="AB176" s="491"/>
      <c r="AC176" s="491"/>
      <c r="AD176" s="491"/>
      <c r="AE176" s="491"/>
    </row>
    <row r="177" spans="1:31" s="2013" customFormat="1" ht="11.25" customHeight="1">
      <c r="A177" s="895"/>
      <c r="B177" s="1548"/>
      <c r="C177" s="1548"/>
      <c r="D177" s="276"/>
      <c r="K177" s="1060"/>
      <c r="L177" s="1548"/>
      <c r="M177" s="1548"/>
      <c r="N177" s="1060"/>
      <c r="O177" s="1060"/>
      <c r="P177" s="1060"/>
      <c r="Q177" s="1060"/>
      <c r="R177" s="1548"/>
      <c r="S177" s="1060"/>
      <c r="T177" s="1060"/>
      <c r="U177" s="469"/>
      <c r="V177" s="1060"/>
      <c r="W177" s="1060"/>
      <c r="X177" s="1060"/>
      <c r="Y177" s="1060"/>
      <c r="Z177" s="1060"/>
      <c r="AA177" s="1544"/>
      <c r="AB177" s="491"/>
      <c r="AC177" s="491"/>
      <c r="AD177" s="491"/>
      <c r="AE177" s="491"/>
    </row>
    <row r="178" spans="1:31" s="2013" customFormat="1" ht="11.25" customHeight="1">
      <c r="A178" s="895"/>
      <c r="B178" s="1548"/>
      <c r="C178" s="1548"/>
      <c r="D178" s="276"/>
      <c r="K178" s="1060"/>
      <c r="L178" s="1548"/>
      <c r="M178" s="1548"/>
      <c r="N178" s="1060"/>
      <c r="O178" s="1060"/>
      <c r="P178" s="1060"/>
      <c r="Q178" s="1060"/>
      <c r="R178" s="1548"/>
      <c r="S178" s="1060"/>
      <c r="T178" s="1060"/>
      <c r="U178" s="469"/>
      <c r="V178" s="1060"/>
      <c r="W178" s="1060"/>
      <c r="X178" s="1060"/>
      <c r="Y178" s="1060"/>
      <c r="Z178" s="1060"/>
      <c r="AA178" s="1544"/>
      <c r="AB178" s="491"/>
      <c r="AC178" s="491"/>
      <c r="AD178" s="491"/>
      <c r="AE178" s="491"/>
    </row>
    <row r="179" spans="1:31" s="2013" customFormat="1" ht="11.25" customHeight="1">
      <c r="A179" s="895"/>
      <c r="B179" s="1548"/>
      <c r="C179" s="1548"/>
      <c r="D179" s="276"/>
      <c r="K179" s="1060"/>
      <c r="L179" s="1548"/>
      <c r="M179" s="1548"/>
      <c r="N179" s="1060"/>
      <c r="O179" s="1060"/>
      <c r="P179" s="1060"/>
      <c r="Q179" s="1060"/>
      <c r="R179" s="1548"/>
      <c r="S179" s="1060"/>
      <c r="T179" s="1060"/>
      <c r="U179" s="469"/>
      <c r="V179" s="1060"/>
      <c r="W179" s="1060"/>
      <c r="X179" s="1060"/>
      <c r="Y179" s="1060"/>
      <c r="Z179" s="1060"/>
      <c r="AA179" s="1544"/>
      <c r="AB179" s="491"/>
      <c r="AC179" s="491"/>
      <c r="AD179" s="491"/>
      <c r="AE179" s="491"/>
    </row>
    <row r="180" spans="1:31" s="2013" customFormat="1" ht="11.25" customHeight="1">
      <c r="A180" s="895"/>
      <c r="B180" s="1548"/>
      <c r="C180" s="1548"/>
      <c r="D180" s="276"/>
      <c r="K180" s="1060"/>
      <c r="L180" s="1548"/>
      <c r="M180" s="1548"/>
      <c r="N180" s="1060"/>
      <c r="O180" s="1060"/>
      <c r="P180" s="1060"/>
      <c r="Q180" s="1060"/>
      <c r="R180" s="1548"/>
      <c r="S180" s="1060"/>
      <c r="T180" s="1060"/>
      <c r="U180" s="469"/>
      <c r="V180" s="1060"/>
      <c r="W180" s="1060"/>
      <c r="X180" s="1060"/>
      <c r="Y180" s="1060"/>
      <c r="Z180" s="1060"/>
      <c r="AA180" s="1544"/>
      <c r="AB180" s="491"/>
      <c r="AC180" s="491"/>
      <c r="AD180" s="491"/>
      <c r="AE180" s="491"/>
    </row>
    <row r="181" spans="1:31" s="2013" customFormat="1" ht="11.25" customHeight="1">
      <c r="A181" s="895"/>
      <c r="B181" s="1548"/>
      <c r="C181" s="1548"/>
      <c r="D181" s="276"/>
      <c r="K181" s="1060"/>
      <c r="L181" s="1548"/>
      <c r="M181" s="1548"/>
      <c r="N181" s="1060"/>
      <c r="O181" s="1060"/>
      <c r="P181" s="1060"/>
      <c r="Q181" s="1060"/>
      <c r="R181" s="1548"/>
      <c r="S181" s="1060"/>
      <c r="T181" s="1060"/>
      <c r="U181" s="469"/>
      <c r="V181" s="1060"/>
      <c r="W181" s="1060"/>
      <c r="X181" s="1060"/>
      <c r="Y181" s="1060"/>
      <c r="Z181" s="1060"/>
      <c r="AA181" s="1544"/>
      <c r="AB181" s="491"/>
      <c r="AC181" s="491"/>
      <c r="AD181" s="491"/>
      <c r="AE181" s="491"/>
    </row>
    <row r="182" spans="1:31" s="2013" customFormat="1" ht="11.25" customHeight="1">
      <c r="A182" s="895"/>
      <c r="B182" s="1548"/>
      <c r="C182" s="1548"/>
      <c r="D182" s="276"/>
      <c r="K182" s="1060"/>
      <c r="L182" s="1548"/>
      <c r="M182" s="1548"/>
      <c r="N182" s="1060"/>
      <c r="O182" s="1060"/>
      <c r="P182" s="1060"/>
      <c r="Q182" s="1060"/>
      <c r="R182" s="1548"/>
      <c r="S182" s="1060"/>
      <c r="T182" s="1060"/>
      <c r="U182" s="469"/>
      <c r="V182" s="1060"/>
      <c r="W182" s="1060"/>
      <c r="X182" s="1060"/>
      <c r="Y182" s="1060"/>
      <c r="Z182" s="1060"/>
      <c r="AA182" s="1544"/>
      <c r="AB182" s="491"/>
      <c r="AC182" s="491"/>
      <c r="AD182" s="491"/>
      <c r="AE182" s="491"/>
    </row>
    <row r="183" spans="1:31" s="2013" customFormat="1" ht="11.25" customHeight="1">
      <c r="A183" s="895"/>
      <c r="B183" s="1548"/>
      <c r="C183" s="1548"/>
      <c r="D183" s="276"/>
      <c r="K183" s="1060"/>
      <c r="L183" s="1548"/>
      <c r="M183" s="1548"/>
      <c r="N183" s="1060"/>
      <c r="O183" s="1060"/>
      <c r="P183" s="1060"/>
      <c r="Q183" s="1060"/>
      <c r="R183" s="1548"/>
      <c r="S183" s="1060"/>
      <c r="T183" s="1060"/>
      <c r="U183" s="469"/>
      <c r="V183" s="1060"/>
      <c r="W183" s="1060"/>
      <c r="X183" s="1060"/>
      <c r="Y183" s="1060"/>
      <c r="Z183" s="1060"/>
      <c r="AA183" s="1544"/>
      <c r="AB183" s="491"/>
      <c r="AC183" s="491"/>
      <c r="AD183" s="491"/>
      <c r="AE183" s="491"/>
    </row>
    <row r="184" spans="1:31" s="2013" customFormat="1" ht="11.25" customHeight="1">
      <c r="A184" s="895"/>
      <c r="B184" s="1548"/>
      <c r="C184" s="1548"/>
      <c r="D184" s="276"/>
      <c r="K184" s="1060"/>
      <c r="L184" s="1548"/>
      <c r="M184" s="1548"/>
      <c r="N184" s="1060"/>
      <c r="O184" s="1060"/>
      <c r="P184" s="1060"/>
      <c r="Q184" s="1060"/>
      <c r="R184" s="1548"/>
      <c r="S184" s="1060"/>
      <c r="T184" s="1060"/>
      <c r="U184" s="469"/>
      <c r="V184" s="1060"/>
      <c r="W184" s="1060"/>
      <c r="X184" s="1060"/>
      <c r="Y184" s="1060"/>
      <c r="Z184" s="1060"/>
      <c r="AA184" s="1544"/>
      <c r="AB184" s="491"/>
      <c r="AC184" s="491"/>
      <c r="AD184" s="491"/>
      <c r="AE184" s="491"/>
    </row>
    <row r="185" spans="1:31" s="2013" customFormat="1" ht="11.25" customHeight="1">
      <c r="A185" s="895"/>
      <c r="B185" s="1548"/>
      <c r="C185" s="1548"/>
      <c r="D185" s="276"/>
      <c r="K185" s="1060"/>
      <c r="L185" s="1548"/>
      <c r="M185" s="1548"/>
      <c r="N185" s="1060"/>
      <c r="O185" s="1060"/>
      <c r="P185" s="1060"/>
      <c r="Q185" s="1060"/>
      <c r="R185" s="1548"/>
      <c r="S185" s="1060"/>
      <c r="T185" s="1060"/>
      <c r="U185" s="469"/>
      <c r="V185" s="1060"/>
      <c r="W185" s="1060"/>
      <c r="X185" s="1060"/>
      <c r="Y185" s="1060"/>
      <c r="Z185" s="1060"/>
      <c r="AA185" s="1544"/>
      <c r="AB185" s="491"/>
      <c r="AC185" s="491"/>
      <c r="AD185" s="491"/>
      <c r="AE185" s="491"/>
    </row>
    <row r="186" spans="1:31" s="2013" customFormat="1" ht="11.25" customHeight="1">
      <c r="A186" s="895"/>
      <c r="B186" s="1548"/>
      <c r="C186" s="1548"/>
      <c r="D186" s="276"/>
      <c r="K186" s="1060"/>
      <c r="L186" s="1548"/>
      <c r="M186" s="1548"/>
      <c r="N186" s="1060"/>
      <c r="O186" s="1060"/>
      <c r="P186" s="1060"/>
      <c r="Q186" s="1060"/>
      <c r="R186" s="1548"/>
      <c r="S186" s="1060"/>
      <c r="T186" s="1060"/>
      <c r="U186" s="469"/>
      <c r="V186" s="1060"/>
      <c r="W186" s="1060"/>
      <c r="X186" s="1060"/>
      <c r="Y186" s="1060"/>
      <c r="Z186" s="1060"/>
      <c r="AA186" s="1544"/>
      <c r="AB186" s="491"/>
      <c r="AC186" s="491"/>
      <c r="AD186" s="491"/>
      <c r="AE186" s="491"/>
    </row>
    <row r="187" spans="1:31" s="2013" customFormat="1" ht="11.25" customHeight="1">
      <c r="A187" s="895"/>
      <c r="B187" s="1548"/>
      <c r="C187" s="1548"/>
      <c r="D187" s="276"/>
      <c r="K187" s="1060"/>
      <c r="L187" s="1548"/>
      <c r="M187" s="1548"/>
      <c r="N187" s="1060"/>
      <c r="O187" s="1060"/>
      <c r="P187" s="1060"/>
      <c r="Q187" s="1060"/>
      <c r="R187" s="1548"/>
      <c r="S187" s="1060"/>
      <c r="T187" s="1060"/>
      <c r="U187" s="469"/>
      <c r="V187" s="1060"/>
      <c r="W187" s="1060"/>
      <c r="X187" s="1060"/>
      <c r="Y187" s="1060"/>
      <c r="Z187" s="1060"/>
      <c r="AA187" s="1544"/>
      <c r="AB187" s="491"/>
      <c r="AC187" s="491"/>
      <c r="AD187" s="491"/>
      <c r="AE187" s="491"/>
    </row>
    <row r="188" spans="1:31" s="2013" customFormat="1" ht="11.25" customHeight="1">
      <c r="A188" s="895"/>
      <c r="B188" s="1548"/>
      <c r="C188" s="1548"/>
      <c r="D188" s="276"/>
      <c r="K188" s="1060"/>
      <c r="L188" s="1548"/>
      <c r="M188" s="1548"/>
      <c r="N188" s="1060"/>
      <c r="O188" s="1060"/>
      <c r="P188" s="1060"/>
      <c r="Q188" s="1060"/>
      <c r="R188" s="1548"/>
      <c r="S188" s="1060"/>
      <c r="T188" s="1060"/>
      <c r="U188" s="469"/>
      <c r="V188" s="1060"/>
      <c r="W188" s="1060"/>
      <c r="X188" s="1060"/>
      <c r="Y188" s="1060"/>
      <c r="Z188" s="1060"/>
      <c r="AA188" s="1544"/>
      <c r="AB188" s="491"/>
      <c r="AC188" s="491"/>
      <c r="AD188" s="491"/>
      <c r="AE188" s="491"/>
    </row>
    <row r="189" spans="1:31" s="2013" customFormat="1" ht="11.25" customHeight="1">
      <c r="A189" s="895"/>
      <c r="B189" s="1548"/>
      <c r="C189" s="1548"/>
      <c r="D189" s="276"/>
      <c r="K189" s="1060"/>
      <c r="L189" s="1548"/>
      <c r="M189" s="1548"/>
      <c r="N189" s="1060"/>
      <c r="O189" s="1060"/>
      <c r="P189" s="1060"/>
      <c r="Q189" s="1060"/>
      <c r="R189" s="1548"/>
      <c r="S189" s="1060"/>
      <c r="T189" s="1060"/>
      <c r="U189" s="469"/>
      <c r="V189" s="1060"/>
      <c r="W189" s="1060"/>
      <c r="X189" s="1060"/>
      <c r="Y189" s="1060"/>
      <c r="Z189" s="1060"/>
      <c r="AA189" s="1544"/>
      <c r="AB189" s="491"/>
      <c r="AC189" s="491"/>
      <c r="AD189" s="491"/>
      <c r="AE189" s="491"/>
    </row>
    <row r="190" spans="1:31" s="2013" customFormat="1" ht="11.25" customHeight="1">
      <c r="A190" s="895"/>
      <c r="B190" s="1548"/>
      <c r="C190" s="1548"/>
      <c r="D190" s="276"/>
      <c r="K190" s="1060"/>
      <c r="L190" s="1548"/>
      <c r="M190" s="1548"/>
      <c r="N190" s="1060"/>
      <c r="O190" s="1060"/>
      <c r="P190" s="1060"/>
      <c r="Q190" s="1060"/>
      <c r="R190" s="1548"/>
      <c r="S190" s="1060"/>
      <c r="T190" s="1060"/>
      <c r="U190" s="469"/>
      <c r="V190" s="1060"/>
      <c r="W190" s="1060"/>
      <c r="X190" s="1060"/>
      <c r="Y190" s="1060"/>
      <c r="Z190" s="1060"/>
      <c r="AA190" s="1544"/>
      <c r="AB190" s="491"/>
      <c r="AC190" s="491"/>
      <c r="AD190" s="491"/>
      <c r="AE190" s="491"/>
    </row>
    <row r="191" spans="1:31" s="2013" customFormat="1" ht="11.25" customHeight="1">
      <c r="A191" s="895"/>
      <c r="B191" s="1548"/>
      <c r="C191" s="1548"/>
      <c r="D191" s="276"/>
      <c r="K191" s="1060"/>
      <c r="L191" s="1548"/>
      <c r="M191" s="1548"/>
      <c r="N191" s="1060"/>
      <c r="O191" s="1060"/>
      <c r="P191" s="1060"/>
      <c r="Q191" s="1060"/>
      <c r="R191" s="1548"/>
      <c r="S191" s="1060"/>
      <c r="T191" s="1060"/>
      <c r="U191" s="469"/>
      <c r="V191" s="1060"/>
      <c r="W191" s="1060"/>
      <c r="X191" s="1060"/>
      <c r="Y191" s="1060"/>
      <c r="Z191" s="1060"/>
      <c r="AA191" s="1544"/>
      <c r="AB191" s="491"/>
      <c r="AC191" s="491"/>
      <c r="AD191" s="491"/>
      <c r="AE191" s="491"/>
    </row>
    <row r="192" spans="1:31" s="2013" customFormat="1" ht="11.25" customHeight="1">
      <c r="A192" s="895"/>
      <c r="B192" s="1548"/>
      <c r="C192" s="1548"/>
      <c r="D192" s="276"/>
      <c r="K192" s="1060"/>
      <c r="L192" s="1548"/>
      <c r="M192" s="1548"/>
      <c r="N192" s="1060"/>
      <c r="O192" s="1060"/>
      <c r="P192" s="1060"/>
      <c r="Q192" s="1060"/>
      <c r="R192" s="1548"/>
      <c r="S192" s="1060"/>
      <c r="T192" s="1060"/>
      <c r="U192" s="469"/>
      <c r="V192" s="1060"/>
      <c r="W192" s="1060"/>
      <c r="X192" s="1060"/>
      <c r="Y192" s="1060"/>
      <c r="Z192" s="1060"/>
      <c r="AA192" s="1544"/>
      <c r="AB192" s="491"/>
      <c r="AC192" s="491"/>
      <c r="AD192" s="491"/>
      <c r="AE192" s="491"/>
    </row>
    <row r="193" spans="1:31" s="2013" customFormat="1" ht="11.25" customHeight="1">
      <c r="A193" s="895"/>
      <c r="B193" s="1548"/>
      <c r="C193" s="1548"/>
      <c r="D193" s="276"/>
      <c r="K193" s="1060"/>
      <c r="L193" s="1548"/>
      <c r="M193" s="1548"/>
      <c r="N193" s="1060"/>
      <c r="O193" s="1060"/>
      <c r="P193" s="1060"/>
      <c r="Q193" s="1060"/>
      <c r="R193" s="1548"/>
      <c r="S193" s="1060"/>
      <c r="T193" s="1060"/>
      <c r="U193" s="469"/>
      <c r="V193" s="1060"/>
      <c r="W193" s="1060"/>
      <c r="X193" s="1060"/>
      <c r="Y193" s="1060"/>
      <c r="Z193" s="1060"/>
      <c r="AA193" s="1544"/>
      <c r="AB193" s="491"/>
      <c r="AC193" s="491"/>
      <c r="AD193" s="491"/>
      <c r="AE193" s="491"/>
    </row>
    <row r="194" spans="1:31" s="2013" customFormat="1" ht="11.25" customHeight="1">
      <c r="A194" s="895"/>
      <c r="B194" s="1548"/>
      <c r="C194" s="1548"/>
      <c r="D194" s="276"/>
      <c r="K194" s="1060"/>
      <c r="L194" s="1548"/>
      <c r="M194" s="1548"/>
      <c r="N194" s="1060"/>
      <c r="O194" s="1060"/>
      <c r="P194" s="1060"/>
      <c r="Q194" s="1060"/>
      <c r="R194" s="1548"/>
      <c r="S194" s="1060"/>
      <c r="T194" s="1060"/>
      <c r="U194" s="469"/>
      <c r="V194" s="1060"/>
      <c r="W194" s="1060"/>
      <c r="X194" s="1060"/>
      <c r="Y194" s="1060"/>
      <c r="Z194" s="1060"/>
      <c r="AA194" s="1544"/>
      <c r="AB194" s="491"/>
      <c r="AC194" s="491"/>
      <c r="AD194" s="491"/>
      <c r="AE194" s="491"/>
    </row>
    <row r="195" spans="1:31" s="2013" customFormat="1" ht="11.25" customHeight="1">
      <c r="A195" s="895"/>
      <c r="B195" s="1548"/>
      <c r="C195" s="1548"/>
      <c r="D195" s="276"/>
      <c r="K195" s="1060"/>
      <c r="L195" s="1548"/>
      <c r="M195" s="1548"/>
      <c r="N195" s="1060"/>
      <c r="O195" s="1060"/>
      <c r="P195" s="1060"/>
      <c r="Q195" s="1060"/>
      <c r="R195" s="1548"/>
      <c r="S195" s="1060"/>
      <c r="T195" s="1060"/>
      <c r="U195" s="469"/>
      <c r="V195" s="1060"/>
      <c r="W195" s="1060"/>
      <c r="X195" s="1060"/>
      <c r="Y195" s="1060"/>
      <c r="Z195" s="1060"/>
      <c r="AA195" s="1544"/>
      <c r="AB195" s="491"/>
      <c r="AC195" s="491"/>
      <c r="AD195" s="491"/>
      <c r="AE195" s="491"/>
    </row>
    <row r="199" spans="1:31" ht="11.25" customHeight="1">
      <c r="A199" s="898"/>
      <c r="B199" s="1543"/>
      <c r="D199" s="1543"/>
      <c r="K199" s="1543"/>
      <c r="N199" s="1543"/>
      <c r="O199" s="1543"/>
      <c r="P199" s="1543"/>
      <c r="Q199" s="1543"/>
      <c r="S199" s="1543"/>
      <c r="T199" s="1543"/>
      <c r="U199" s="1543"/>
      <c r="V199" s="1543"/>
      <c r="W199" s="1543"/>
      <c r="X199" s="1543"/>
      <c r="Y199" s="1543"/>
      <c r="Z199" s="1543"/>
      <c r="AA199" s="1543"/>
      <c r="AB199" s="1543"/>
      <c r="AC199" s="1543"/>
      <c r="AD199" s="1543"/>
      <c r="AE199" s="1543"/>
    </row>
    <row r="200" spans="1:31" ht="11.25" customHeight="1">
      <c r="A200" s="898"/>
      <c r="B200" s="1543"/>
      <c r="D200" s="1543"/>
      <c r="K200" s="1543"/>
      <c r="N200" s="1543"/>
      <c r="O200" s="1543"/>
      <c r="P200" s="1543"/>
      <c r="Q200" s="1543"/>
      <c r="S200" s="1543"/>
      <c r="T200" s="1543"/>
      <c r="U200" s="1543"/>
      <c r="V200" s="1543"/>
      <c r="W200" s="1543"/>
      <c r="X200" s="1543"/>
      <c r="Y200" s="1543"/>
      <c r="Z200" s="1543"/>
      <c r="AA200" s="1543"/>
      <c r="AB200" s="1543"/>
      <c r="AC200" s="1543"/>
      <c r="AD200" s="1543"/>
      <c r="AE200" s="1543"/>
    </row>
    <row r="201" spans="1:31" ht="11.25" customHeight="1">
      <c r="A201" s="898"/>
      <c r="B201" s="1543"/>
      <c r="D201" s="1543"/>
      <c r="K201" s="1543"/>
      <c r="N201" s="1543"/>
      <c r="O201" s="1543"/>
      <c r="P201" s="1543"/>
      <c r="Q201" s="1543"/>
      <c r="S201" s="1543"/>
      <c r="T201" s="1543"/>
      <c r="U201" s="1543"/>
      <c r="V201" s="1543"/>
      <c r="W201" s="1543"/>
      <c r="X201" s="1543"/>
      <c r="Y201" s="1543"/>
      <c r="Z201" s="1543"/>
      <c r="AA201" s="1543"/>
      <c r="AB201" s="1543"/>
      <c r="AC201" s="1543"/>
      <c r="AD201" s="1543"/>
      <c r="AE201" s="1543"/>
    </row>
    <row r="202" spans="1:31" ht="11.25" customHeight="1">
      <c r="A202" s="898"/>
      <c r="B202" s="1543"/>
      <c r="D202" s="1543"/>
      <c r="K202" s="1543"/>
      <c r="N202" s="1543"/>
      <c r="O202" s="1543"/>
      <c r="P202" s="1543"/>
      <c r="Q202" s="1543"/>
      <c r="S202" s="1543"/>
      <c r="T202" s="1543"/>
      <c r="U202" s="1543"/>
      <c r="V202" s="1543"/>
      <c r="W202" s="1543"/>
      <c r="X202" s="1543"/>
      <c r="Y202" s="1543"/>
      <c r="Z202" s="1543"/>
      <c r="AA202" s="1543"/>
      <c r="AB202" s="1543"/>
      <c r="AC202" s="1543"/>
      <c r="AD202" s="1543"/>
      <c r="AE202" s="1543"/>
    </row>
    <row r="203" spans="1:31" ht="11.25" customHeight="1">
      <c r="A203" s="898"/>
      <c r="B203" s="1543"/>
      <c r="D203" s="1543"/>
      <c r="K203" s="1543"/>
      <c r="N203" s="1543"/>
      <c r="O203" s="1543"/>
      <c r="P203" s="1543"/>
      <c r="Q203" s="1543"/>
      <c r="S203" s="1543"/>
      <c r="T203" s="1543"/>
      <c r="U203" s="1543"/>
      <c r="V203" s="1543"/>
      <c r="W203" s="1543"/>
      <c r="X203" s="1543"/>
      <c r="Y203" s="1543"/>
      <c r="Z203" s="1543"/>
      <c r="AA203" s="1543"/>
      <c r="AB203" s="1543"/>
      <c r="AC203" s="1543"/>
      <c r="AD203" s="1543"/>
      <c r="AE203" s="1543"/>
    </row>
    <row r="204" spans="1:31" ht="11.25" customHeight="1">
      <c r="A204" s="898"/>
      <c r="B204" s="1543"/>
      <c r="D204" s="1543"/>
      <c r="K204" s="1543"/>
      <c r="N204" s="1543"/>
      <c r="O204" s="1543"/>
      <c r="P204" s="1543"/>
      <c r="Q204" s="1543"/>
      <c r="S204" s="1543"/>
      <c r="T204" s="1543"/>
      <c r="U204" s="1543"/>
      <c r="V204" s="1543"/>
      <c r="W204" s="1543"/>
      <c r="X204" s="1543"/>
      <c r="Y204" s="1543"/>
      <c r="Z204" s="1543"/>
      <c r="AA204" s="1543"/>
      <c r="AB204" s="1543"/>
      <c r="AC204" s="1543"/>
      <c r="AD204" s="1543"/>
      <c r="AE204" s="1543"/>
    </row>
    <row r="205" spans="1:31" ht="11.25" customHeight="1">
      <c r="A205" s="898"/>
      <c r="B205" s="1543"/>
      <c r="D205" s="1543"/>
      <c r="K205" s="1543"/>
      <c r="N205" s="1543"/>
      <c r="O205" s="1543"/>
      <c r="P205" s="1543"/>
      <c r="Q205" s="1543"/>
      <c r="S205" s="1543"/>
      <c r="T205" s="1543"/>
      <c r="U205" s="1543"/>
      <c r="V205" s="1543"/>
      <c r="W205" s="1543"/>
      <c r="X205" s="1543"/>
      <c r="Y205" s="1543"/>
      <c r="Z205" s="1543"/>
      <c r="AA205" s="1543"/>
      <c r="AB205" s="1543"/>
      <c r="AC205" s="1543"/>
      <c r="AD205" s="1543"/>
      <c r="AE205" s="1543"/>
    </row>
    <row r="206" spans="1:31" ht="11.25" customHeight="1">
      <c r="A206" s="898"/>
      <c r="B206" s="1543"/>
      <c r="D206" s="1543"/>
      <c r="K206" s="1543"/>
      <c r="N206" s="1543"/>
      <c r="O206" s="1543"/>
      <c r="P206" s="1543"/>
      <c r="Q206" s="1543"/>
      <c r="S206" s="1543"/>
      <c r="T206" s="1543"/>
      <c r="U206" s="1543"/>
      <c r="V206" s="1543"/>
      <c r="W206" s="1543"/>
      <c r="X206" s="1543"/>
      <c r="Y206" s="1543"/>
      <c r="Z206" s="1543"/>
      <c r="AA206" s="1543"/>
      <c r="AB206" s="1543"/>
      <c r="AC206" s="1543"/>
      <c r="AD206" s="1543"/>
      <c r="AE206" s="1543"/>
    </row>
    <row r="207" spans="1:31" ht="11.25" customHeight="1">
      <c r="A207" s="898"/>
      <c r="B207" s="1543"/>
      <c r="D207" s="1543"/>
      <c r="K207" s="1543"/>
      <c r="N207" s="1543"/>
      <c r="O207" s="1543"/>
      <c r="P207" s="1543"/>
      <c r="Q207" s="1543"/>
      <c r="S207" s="1543"/>
      <c r="T207" s="1543"/>
      <c r="U207" s="1543"/>
      <c r="V207" s="1543"/>
      <c r="W207" s="1543"/>
      <c r="X207" s="1543"/>
      <c r="Y207" s="1543"/>
      <c r="Z207" s="1543"/>
      <c r="AA207" s="1543"/>
      <c r="AB207" s="1543"/>
      <c r="AC207" s="1543"/>
      <c r="AD207" s="1543"/>
      <c r="AE207" s="1543"/>
    </row>
    <row r="208" spans="1:31" ht="11.25" customHeight="1">
      <c r="A208" s="898"/>
      <c r="B208" s="1543"/>
      <c r="D208" s="1543"/>
      <c r="K208" s="1543"/>
      <c r="N208" s="1543"/>
      <c r="O208" s="1543"/>
      <c r="P208" s="1543"/>
      <c r="Q208" s="1543"/>
      <c r="S208" s="1543"/>
      <c r="T208" s="1543"/>
      <c r="U208" s="1543"/>
      <c r="V208" s="1543"/>
      <c r="W208" s="1543"/>
      <c r="X208" s="1543"/>
      <c r="Y208" s="1543"/>
      <c r="Z208" s="1543"/>
      <c r="AA208" s="1543"/>
      <c r="AB208" s="1543"/>
      <c r="AC208" s="1543"/>
      <c r="AD208" s="1543"/>
      <c r="AE208" s="1543"/>
    </row>
    <row r="209" spans="1:31" ht="11.25" customHeight="1">
      <c r="A209" s="898"/>
      <c r="B209" s="1543"/>
      <c r="D209" s="1543"/>
      <c r="K209" s="1543"/>
      <c r="N209" s="1543"/>
      <c r="O209" s="1543"/>
      <c r="P209" s="1543"/>
      <c r="Q209" s="1543"/>
      <c r="S209" s="1543"/>
      <c r="T209" s="1543"/>
      <c r="U209" s="1543"/>
      <c r="V209" s="1543"/>
      <c r="W209" s="1543"/>
      <c r="X209" s="1543"/>
      <c r="Y209" s="1543"/>
      <c r="Z209" s="1543"/>
      <c r="AA209" s="1543"/>
      <c r="AB209" s="1543"/>
      <c r="AC209" s="1543"/>
      <c r="AD209" s="1543"/>
      <c r="AE209" s="1543"/>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xr:uid="{00000000-0002-0000-20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0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xr:uid="{00000000-0002-0000-20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0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52FFC-B23B-1764-5D35-DC65F0AA74E8}">
  <sheetPr>
    <tabColor theme="9" tint="-0.249977111117893"/>
  </sheetPr>
  <dimension ref="A1:W101"/>
  <sheetViews>
    <sheetView showGridLines="0" topLeftCell="C2" zoomScale="90" workbookViewId="0"/>
  </sheetViews>
  <sheetFormatPr defaultColWidth="10.5703125" defaultRowHeight="11.25" customHeight="1"/>
  <cols>
    <col min="1" max="1" width="9.140625" style="2022" hidden="1" customWidth="1"/>
    <col min="2" max="2" width="3.5703125" style="1820" hidden="1" customWidth="1"/>
    <col min="3" max="3" width="3.7109375" style="1922" customWidth="1"/>
    <col min="4" max="4" width="7.7109375" style="1922" customWidth="1"/>
    <col min="5" max="5" width="69.85546875" style="1922" customWidth="1"/>
    <col min="6" max="6" width="11.140625" style="1922" customWidth="1"/>
    <col min="7" max="8" width="44" style="1922" hidden="1" customWidth="1"/>
    <col min="9" max="10" width="44" style="1823" customWidth="1"/>
    <col min="11" max="11" width="74" style="1922" customWidth="1"/>
    <col min="12" max="12" width="3.7109375" style="1922" customWidth="1"/>
    <col min="13" max="23" width="10.5703125" style="1922"/>
  </cols>
  <sheetData>
    <row r="1" spans="1:12" s="1824" customFormat="1" ht="11.25" hidden="1" customHeight="1">
      <c r="A1" s="461"/>
      <c r="B1" s="437"/>
      <c r="G1" s="351">
        <v>4</v>
      </c>
      <c r="I1" s="351">
        <v>4</v>
      </c>
      <c r="K1" s="351">
        <v>5</v>
      </c>
    </row>
    <row r="2" spans="1:12" ht="3" customHeight="1"/>
    <row r="3" spans="1:12" ht="75" customHeight="1">
      <c r="D3" s="213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137"/>
      <c r="F3" s="2138"/>
    </row>
    <row r="4" spans="1:12" s="1823" customFormat="1" ht="20.25" customHeight="1">
      <c r="A4" s="860"/>
      <c r="B4" s="437"/>
      <c r="D4" s="2234" t="str">
        <f>IF(org=0,"Не определено",org)</f>
        <v>ПАО "Юнипро"</v>
      </c>
      <c r="E4" s="2235"/>
      <c r="F4" s="2236"/>
    </row>
    <row r="5" spans="1:12" ht="11.25" customHeight="1">
      <c r="C5" s="435"/>
      <c r="D5" s="511"/>
      <c r="E5" s="511"/>
      <c r="F5" s="511"/>
      <c r="G5" s="511"/>
      <c r="H5" s="669"/>
      <c r="I5" s="511"/>
      <c r="J5" s="669"/>
      <c r="K5" s="511"/>
    </row>
    <row r="6" spans="1:12" ht="0.75" customHeight="1">
      <c r="C6" s="435"/>
      <c r="D6" s="435"/>
      <c r="E6" s="448"/>
      <c r="F6" s="535"/>
      <c r="G6" s="929"/>
      <c r="H6" s="929"/>
      <c r="I6" s="929" t="s">
        <v>116</v>
      </c>
      <c r="J6" s="929"/>
    </row>
    <row r="7" spans="1:12" ht="11.25" customHeight="1">
      <c r="D7" s="630"/>
      <c r="E7" s="2344" t="s">
        <v>104</v>
      </c>
      <c r="F7" s="2345"/>
      <c r="G7" s="2363" t="str">
        <f>IF(G6="","",INDEX(DIFFERENTIATION_UNMERGE_VD,MATCH(G6,DIFFERENTIATION_ID_DIFF,0)))</f>
        <v/>
      </c>
      <c r="H7" s="2364"/>
      <c r="I7" s="2363">
        <f>IF(I6="","",INDEX(DIFFERENTIATION_UNMERGE_VD,MATCH(I6,DIFFERENTIATION_ID_DIFF,0)))</f>
        <v>0</v>
      </c>
      <c r="J7" s="2364"/>
      <c r="K7" s="2199"/>
      <c r="L7" s="435"/>
    </row>
    <row r="8" spans="1:12" ht="11.25" customHeight="1">
      <c r="A8" s="623"/>
      <c r="D8" s="630"/>
      <c r="E8" s="2344" t="s">
        <v>548</v>
      </c>
      <c r="F8" s="2345"/>
      <c r="G8" s="2363" t="str">
        <f>IF(G6="","",INDEX(DIFFERENTIATION_UNMERGE_AREA,MATCH(G6,DIFFERENTIATION_ID_DIFF,0)))</f>
        <v/>
      </c>
      <c r="H8" s="2364"/>
      <c r="I8" s="2363" t="str">
        <f>IF(I6="","",INDEX(DIFFERENTIATION_UNMERGE_AREA,MATCH(I6,DIFFERENTIATION_ID_DIFF,0)))</f>
        <v/>
      </c>
      <c r="J8" s="2364"/>
      <c r="K8" s="2218"/>
      <c r="L8" s="435"/>
    </row>
    <row r="9" spans="1:12" ht="11.25" customHeight="1">
      <c r="A9" s="623"/>
      <c r="D9" s="630"/>
      <c r="E9" s="2344" t="s">
        <v>549</v>
      </c>
      <c r="F9" s="2345"/>
      <c r="G9" s="2363" t="str">
        <f>IF(G6="","",INDEX(DIFFERENTIATION_UNMERGE_SYSTEM,MATCH(G6,DIFFERENTIATION_ID_DIFF,0)))</f>
        <v/>
      </c>
      <c r="H9" s="2364"/>
      <c r="I9" s="2363" t="str">
        <f>IF(I6="","",INDEX(DIFFERENTIATION_UNMERGE_SYSTEM,MATCH(I6,DIFFERENTIATION_ID_DIFF,0)))</f>
        <v>без дифференциации</v>
      </c>
      <c r="J9" s="2364"/>
      <c r="K9" s="2218"/>
      <c r="L9" s="435"/>
    </row>
    <row r="10" spans="1:12" s="1823" customFormat="1" ht="11.25" customHeight="1">
      <c r="A10" s="928"/>
      <c r="B10" s="437"/>
      <c r="D10" s="2115" t="s">
        <v>289</v>
      </c>
      <c r="E10" s="2120"/>
      <c r="F10" s="2120"/>
      <c r="G10" s="2120"/>
      <c r="H10" s="2120"/>
      <c r="I10" s="2120"/>
      <c r="J10" s="2114"/>
      <c r="K10" s="2218"/>
      <c r="L10" s="435"/>
    </row>
    <row r="11" spans="1:12" s="1825" customFormat="1" ht="22.5" customHeight="1">
      <c r="A11" s="2290"/>
      <c r="B11" s="2290"/>
      <c r="C11" s="578"/>
      <c r="D11" s="622" t="s">
        <v>87</v>
      </c>
      <c r="E11" s="624" t="s">
        <v>705</v>
      </c>
      <c r="F11" s="624" t="s">
        <v>550</v>
      </c>
      <c r="G11" s="392" t="s">
        <v>292</v>
      </c>
      <c r="H11" s="392" t="s">
        <v>381</v>
      </c>
      <c r="I11" s="724" t="s">
        <v>292</v>
      </c>
      <c r="J11" s="725" t="s">
        <v>381</v>
      </c>
      <c r="K11" s="2249"/>
      <c r="L11" s="579"/>
    </row>
    <row r="12" spans="1:12" s="1820" customFormat="1" ht="10.5" customHeight="1">
      <c r="A12" s="861"/>
      <c r="D12" s="932" t="s">
        <v>108</v>
      </c>
      <c r="E12" s="932" t="s">
        <v>109</v>
      </c>
      <c r="F12" s="932" t="s">
        <v>89</v>
      </c>
      <c r="G12" s="933" t="str">
        <f>G1&amp;".1"</f>
        <v>4.1</v>
      </c>
      <c r="H12" s="933" t="str">
        <f>G1&amp;".2"</f>
        <v>4.2</v>
      </c>
      <c r="I12" s="933" t="str">
        <f>I1&amp;".1"</f>
        <v>4.1</v>
      </c>
      <c r="J12" s="933" t="str">
        <f>I1&amp;".2"</f>
        <v>4.2</v>
      </c>
      <c r="K12" s="933"/>
    </row>
    <row r="13" spans="1:12" ht="22.5" hidden="1" customHeight="1">
      <c r="A13" s="2362" t="s">
        <v>706</v>
      </c>
      <c r="D13" s="862" t="s">
        <v>108</v>
      </c>
      <c r="E13" s="198" t="s">
        <v>707</v>
      </c>
      <c r="F13" s="581" t="s">
        <v>708</v>
      </c>
      <c r="G13" s="482"/>
      <c r="H13" s="582"/>
      <c r="I13" s="482"/>
      <c r="J13" s="582"/>
      <c r="K13" s="207" t="s">
        <v>709</v>
      </c>
      <c r="L13" s="639"/>
    </row>
    <row r="14" spans="1:12" ht="22.5" hidden="1" customHeight="1">
      <c r="A14" s="2362"/>
      <c r="D14" s="464" t="s">
        <v>109</v>
      </c>
      <c r="E14" s="198" t="s">
        <v>710</v>
      </c>
      <c r="F14" s="581" t="s">
        <v>711</v>
      </c>
      <c r="G14" s="482"/>
      <c r="H14" s="583"/>
      <c r="I14" s="482"/>
      <c r="J14" s="583"/>
      <c r="K14" s="207" t="s">
        <v>712</v>
      </c>
      <c r="L14" s="639"/>
    </row>
    <row r="15" spans="1:12" s="1823" customFormat="1" ht="78.75" hidden="1" customHeight="1">
      <c r="A15" s="2362"/>
      <c r="B15" s="437"/>
      <c r="D15" s="862" t="s">
        <v>89</v>
      </c>
      <c r="E15" s="626" t="s">
        <v>713</v>
      </c>
      <c r="F15" s="859" t="s">
        <v>295</v>
      </c>
      <c r="G15" s="859" t="s">
        <v>295</v>
      </c>
      <c r="H15" s="37"/>
      <c r="I15" s="859" t="s">
        <v>295</v>
      </c>
      <c r="J15" s="37"/>
      <c r="K15" s="207" t="s">
        <v>714</v>
      </c>
      <c r="L15" s="639"/>
    </row>
    <row r="16" spans="1:12" s="1823" customFormat="1" ht="22.5" hidden="1" customHeight="1">
      <c r="A16" s="2362"/>
      <c r="B16" s="437"/>
      <c r="D16" s="862" t="s">
        <v>315</v>
      </c>
      <c r="E16" s="863" t="s">
        <v>715</v>
      </c>
      <c r="F16" s="859" t="s">
        <v>716</v>
      </c>
      <c r="G16" s="734"/>
      <c r="H16" s="37"/>
      <c r="I16" s="734"/>
      <c r="J16" s="37"/>
      <c r="K16" s="207"/>
      <c r="L16" s="639"/>
    </row>
    <row r="17" spans="1:23" s="1823" customFormat="1" ht="22.5" hidden="1" customHeight="1">
      <c r="A17" s="2362"/>
      <c r="B17" s="437"/>
      <c r="D17" s="862" t="s">
        <v>323</v>
      </c>
      <c r="E17" s="863" t="s">
        <v>717</v>
      </c>
      <c r="F17" s="859" t="s">
        <v>718</v>
      </c>
      <c r="G17" s="734"/>
      <c r="H17" s="37"/>
      <c r="I17" s="734"/>
      <c r="J17" s="37"/>
      <c r="K17" s="207"/>
      <c r="L17" s="639"/>
    </row>
    <row r="18" spans="1:23" s="1823" customFormat="1" ht="33.75" hidden="1" customHeight="1">
      <c r="A18" s="2362"/>
      <c r="B18" s="437"/>
      <c r="D18" s="862" t="s">
        <v>325</v>
      </c>
      <c r="E18" s="863" t="s">
        <v>719</v>
      </c>
      <c r="F18" s="859" t="s">
        <v>555</v>
      </c>
      <c r="G18" s="601"/>
      <c r="H18" s="37"/>
      <c r="I18" s="601"/>
      <c r="J18" s="37"/>
      <c r="K18" s="207"/>
      <c r="L18" s="639"/>
    </row>
    <row r="19" spans="1:23" ht="101.25" hidden="1" customHeight="1">
      <c r="A19" s="2362"/>
      <c r="D19" s="862" t="s">
        <v>90</v>
      </c>
      <c r="E19" s="198" t="s">
        <v>720</v>
      </c>
      <c r="F19" s="581" t="s">
        <v>530</v>
      </c>
      <c r="G19" s="584"/>
      <c r="H19" s="583"/>
      <c r="I19" s="864"/>
      <c r="J19" s="583"/>
      <c r="K19" s="207" t="s">
        <v>721</v>
      </c>
      <c r="L19" s="639"/>
    </row>
    <row r="20" spans="1:23" s="1823" customFormat="1" ht="18.75" hidden="1" customHeight="1">
      <c r="A20" s="2362"/>
      <c r="C20" s="865"/>
      <c r="D20" s="862" t="s">
        <v>651</v>
      </c>
      <c r="E20" s="863" t="s">
        <v>722</v>
      </c>
      <c r="F20" s="859" t="s">
        <v>295</v>
      </c>
      <c r="G20" s="859" t="s">
        <v>295</v>
      </c>
      <c r="H20" s="858" t="s">
        <v>295</v>
      </c>
      <c r="I20" s="859" t="s">
        <v>295</v>
      </c>
      <c r="J20" s="858" t="s">
        <v>295</v>
      </c>
      <c r="K20" s="857"/>
      <c r="L20" s="639"/>
      <c r="W20" s="596"/>
    </row>
    <row r="21" spans="1:23" s="1823" customFormat="1" ht="33.75" hidden="1" customHeight="1">
      <c r="A21" s="2362"/>
      <c r="C21" s="865"/>
      <c r="D21" s="862" t="s">
        <v>654</v>
      </c>
      <c r="E21" s="501" t="s">
        <v>723</v>
      </c>
      <c r="F21" s="859" t="s">
        <v>724</v>
      </c>
      <c r="G21" s="852"/>
      <c r="H21" s="37"/>
      <c r="I21" s="852"/>
      <c r="J21" s="37"/>
      <c r="K21" s="857"/>
      <c r="L21" s="639"/>
      <c r="W21" s="596"/>
    </row>
    <row r="22" spans="1:23" s="1823" customFormat="1" ht="33.75" hidden="1" customHeight="1">
      <c r="A22" s="2362"/>
      <c r="C22" s="865"/>
      <c r="D22" s="862" t="s">
        <v>657</v>
      </c>
      <c r="E22" s="501" t="s">
        <v>725</v>
      </c>
      <c r="F22" s="859" t="s">
        <v>726</v>
      </c>
      <c r="G22" s="852"/>
      <c r="H22" s="37"/>
      <c r="I22" s="852"/>
      <c r="J22" s="37"/>
      <c r="K22" s="857"/>
      <c r="L22" s="639"/>
      <c r="W22" s="596"/>
    </row>
    <row r="23" spans="1:23" s="1823" customFormat="1" ht="22.5" hidden="1" customHeight="1">
      <c r="A23" s="2362"/>
      <c r="C23" s="865"/>
      <c r="D23" s="862" t="s">
        <v>694</v>
      </c>
      <c r="E23" s="863" t="s">
        <v>727</v>
      </c>
      <c r="F23" s="859" t="s">
        <v>295</v>
      </c>
      <c r="G23" s="859" t="s">
        <v>295</v>
      </c>
      <c r="H23" s="858" t="s">
        <v>295</v>
      </c>
      <c r="I23" s="859" t="s">
        <v>295</v>
      </c>
      <c r="J23" s="858" t="s">
        <v>295</v>
      </c>
      <c r="K23" s="857"/>
      <c r="L23" s="639"/>
      <c r="W23" s="596"/>
    </row>
    <row r="24" spans="1:23" s="1823" customFormat="1" ht="22.5" hidden="1" customHeight="1">
      <c r="A24" s="2362"/>
      <c r="C24" s="865"/>
      <c r="D24" s="862" t="s">
        <v>728</v>
      </c>
      <c r="E24" s="501" t="s">
        <v>729</v>
      </c>
      <c r="F24" s="859" t="s">
        <v>730</v>
      </c>
      <c r="G24" s="852"/>
      <c r="H24" s="606"/>
      <c r="I24" s="852"/>
      <c r="J24" s="606"/>
      <c r="K24" s="857"/>
      <c r="L24" s="639"/>
      <c r="W24" s="596"/>
    </row>
    <row r="25" spans="1:23" s="1823" customFormat="1" ht="22.5" hidden="1" customHeight="1">
      <c r="A25" s="2362"/>
      <c r="C25" s="865"/>
      <c r="D25" s="862" t="s">
        <v>731</v>
      </c>
      <c r="E25" s="501" t="s">
        <v>732</v>
      </c>
      <c r="F25" s="859" t="s">
        <v>295</v>
      </c>
      <c r="G25" s="859" t="s">
        <v>295</v>
      </c>
      <c r="H25" s="858" t="s">
        <v>295</v>
      </c>
      <c r="I25" s="859" t="s">
        <v>295</v>
      </c>
      <c r="J25" s="858" t="s">
        <v>295</v>
      </c>
      <c r="K25" s="857"/>
      <c r="L25" s="639"/>
      <c r="W25" s="596"/>
    </row>
    <row r="26" spans="1:23" s="1823" customFormat="1" ht="18.75" hidden="1" customHeight="1">
      <c r="A26" s="2362"/>
      <c r="C26" s="865"/>
      <c r="D26" s="862" t="s">
        <v>733</v>
      </c>
      <c r="E26" s="478" t="s">
        <v>734</v>
      </c>
      <c r="F26" s="859" t="s">
        <v>735</v>
      </c>
      <c r="G26" s="601"/>
      <c r="H26" s="606"/>
      <c r="I26" s="601"/>
      <c r="J26" s="606"/>
      <c r="K26" s="857"/>
      <c r="L26" s="639"/>
      <c r="W26" s="596"/>
    </row>
    <row r="27" spans="1:23" s="1823" customFormat="1" ht="18.75" hidden="1" customHeight="1">
      <c r="A27" s="2362"/>
      <c r="C27" s="865"/>
      <c r="D27" s="862" t="s">
        <v>736</v>
      </c>
      <c r="E27" s="478" t="s">
        <v>737</v>
      </c>
      <c r="F27" s="859" t="s">
        <v>738</v>
      </c>
      <c r="G27" s="601"/>
      <c r="H27" s="606"/>
      <c r="I27" s="601"/>
      <c r="J27" s="606"/>
      <c r="K27" s="857"/>
      <c r="L27" s="639"/>
      <c r="W27" s="596"/>
    </row>
    <row r="28" spans="1:23" s="1823" customFormat="1" ht="18.75" hidden="1" customHeight="1">
      <c r="A28" s="2362"/>
      <c r="C28" s="865"/>
      <c r="D28" s="862" t="s">
        <v>739</v>
      </c>
      <c r="E28" s="501" t="s">
        <v>740</v>
      </c>
      <c r="F28" s="859" t="s">
        <v>295</v>
      </c>
      <c r="G28" s="859" t="s">
        <v>295</v>
      </c>
      <c r="H28" s="858" t="s">
        <v>295</v>
      </c>
      <c r="I28" s="859" t="s">
        <v>295</v>
      </c>
      <c r="J28" s="858" t="s">
        <v>295</v>
      </c>
      <c r="K28" s="857"/>
      <c r="L28" s="639"/>
      <c r="W28" s="596"/>
    </row>
    <row r="29" spans="1:23" s="1823" customFormat="1" ht="18.75" hidden="1" customHeight="1">
      <c r="A29" s="2362"/>
      <c r="C29" s="865"/>
      <c r="D29" s="862" t="s">
        <v>741</v>
      </c>
      <c r="E29" s="478" t="s">
        <v>734</v>
      </c>
      <c r="F29" s="859" t="s">
        <v>742</v>
      </c>
      <c r="G29" s="601"/>
      <c r="H29" s="606"/>
      <c r="I29" s="601"/>
      <c r="J29" s="606"/>
      <c r="K29" s="857"/>
      <c r="L29" s="639"/>
      <c r="W29" s="596"/>
    </row>
    <row r="30" spans="1:23" s="1823" customFormat="1" ht="18.75" hidden="1" customHeight="1">
      <c r="A30" s="2362"/>
      <c r="C30" s="865"/>
      <c r="D30" s="862" t="s">
        <v>743</v>
      </c>
      <c r="E30" s="478" t="s">
        <v>744</v>
      </c>
      <c r="F30" s="859" t="s">
        <v>745</v>
      </c>
      <c r="G30" s="601"/>
      <c r="H30" s="606"/>
      <c r="I30" s="601"/>
      <c r="J30" s="606"/>
      <c r="K30" s="857"/>
      <c r="L30" s="639"/>
      <c r="W30" s="596"/>
    </row>
    <row r="31" spans="1:23" ht="126.75" hidden="1" customHeight="1">
      <c r="A31" s="2362"/>
      <c r="D31" s="862" t="s">
        <v>110</v>
      </c>
      <c r="E31" s="198" t="s">
        <v>746</v>
      </c>
      <c r="F31" s="581" t="s">
        <v>542</v>
      </c>
      <c r="G31" s="482"/>
      <c r="H31" s="583"/>
      <c r="I31" s="482"/>
      <c r="J31" s="583"/>
      <c r="K31" s="207" t="s">
        <v>747</v>
      </c>
      <c r="L31" s="639"/>
    </row>
    <row r="32" spans="1:23" ht="56.25" hidden="1" customHeight="1">
      <c r="A32" s="2362"/>
      <c r="D32" s="862" t="s">
        <v>91</v>
      </c>
      <c r="E32" s="198" t="s">
        <v>748</v>
      </c>
      <c r="F32" s="464" t="s">
        <v>718</v>
      </c>
      <c r="G32" s="482"/>
      <c r="H32" s="583"/>
      <c r="I32" s="482"/>
      <c r="J32" s="583"/>
      <c r="K32" s="207" t="s">
        <v>749</v>
      </c>
      <c r="L32" s="639"/>
    </row>
    <row r="33" spans="1:11" ht="11.25" hidden="1" customHeight="1">
      <c r="A33" s="2362"/>
      <c r="E33" s="585"/>
      <c r="F33" s="102"/>
      <c r="G33" s="102"/>
      <c r="H33" s="102"/>
      <c r="I33" s="102"/>
      <c r="J33" s="102"/>
      <c r="K33" s="102"/>
    </row>
    <row r="34" spans="1:11" ht="12.75" hidden="1" customHeight="1">
      <c r="A34" s="2362"/>
      <c r="D34" s="2">
        <v>1</v>
      </c>
      <c r="E34" s="261" t="s">
        <v>750</v>
      </c>
    </row>
    <row r="35" spans="1:11" ht="11.25" hidden="1" customHeight="1">
      <c r="A35" s="2362"/>
      <c r="D35" s="297"/>
      <c r="E35" s="261" t="s">
        <v>751</v>
      </c>
    </row>
    <row r="36" spans="1:11" s="1825" customFormat="1" ht="11.25" customHeight="1">
      <c r="A36" s="940"/>
      <c r="B36" s="444"/>
      <c r="D36" s="941"/>
      <c r="E36" s="942"/>
    </row>
    <row r="37" spans="1:11" s="1823" customFormat="1" ht="22.5" customHeight="1">
      <c r="A37" s="2362" t="s">
        <v>752</v>
      </c>
      <c r="B37" s="437"/>
      <c r="D37" s="862">
        <v>1</v>
      </c>
      <c r="E37" s="626" t="s">
        <v>753</v>
      </c>
      <c r="F37" s="581" t="s">
        <v>708</v>
      </c>
      <c r="G37" s="482"/>
      <c r="H37" s="445"/>
      <c r="I37" s="482"/>
      <c r="J37" s="445"/>
      <c r="K37" s="207" t="s">
        <v>754</v>
      </c>
    </row>
    <row r="38" spans="1:11" s="1823" customFormat="1" ht="22.5" customHeight="1">
      <c r="A38" s="2362"/>
      <c r="B38" s="437"/>
      <c r="D38" s="590" t="s">
        <v>109</v>
      </c>
      <c r="E38" s="939" t="s">
        <v>755</v>
      </c>
      <c r="F38" s="943" t="s">
        <v>530</v>
      </c>
      <c r="G38" s="943" t="s">
        <v>530</v>
      </c>
      <c r="H38" s="937"/>
      <c r="I38" s="943" t="s">
        <v>530</v>
      </c>
      <c r="J38" s="937"/>
      <c r="K38" s="938"/>
    </row>
    <row r="39" spans="1:11" s="1823" customFormat="1" ht="33.75" customHeight="1">
      <c r="A39" s="2362"/>
      <c r="B39" s="437"/>
      <c r="D39" s="586" t="s">
        <v>609</v>
      </c>
      <c r="E39" s="642" t="s">
        <v>756</v>
      </c>
      <c r="F39" s="581" t="s">
        <v>757</v>
      </c>
      <c r="G39" s="589"/>
      <c r="H39" s="930"/>
      <c r="I39" s="589"/>
      <c r="J39" s="930"/>
      <c r="K39" s="207" t="s">
        <v>758</v>
      </c>
    </row>
    <row r="40" spans="1:11" s="1823" customFormat="1" ht="33.75" customHeight="1">
      <c r="A40" s="2362"/>
      <c r="B40" s="437"/>
      <c r="D40" s="586" t="s">
        <v>612</v>
      </c>
      <c r="E40" s="642" t="s">
        <v>759</v>
      </c>
      <c r="F40" s="934" t="s">
        <v>760</v>
      </c>
      <c r="G40" s="659"/>
      <c r="H40" s="930"/>
      <c r="I40" s="659"/>
      <c r="J40" s="930"/>
      <c r="K40" s="207" t="s">
        <v>761</v>
      </c>
    </row>
    <row r="41" spans="1:11" s="1823" customFormat="1" ht="22.5" customHeight="1">
      <c r="A41" s="2362"/>
      <c r="B41" s="437"/>
      <c r="D41" s="586" t="s">
        <v>89</v>
      </c>
      <c r="E41" s="641" t="s">
        <v>762</v>
      </c>
      <c r="F41" s="581" t="s">
        <v>530</v>
      </c>
      <c r="G41" s="581" t="s">
        <v>530</v>
      </c>
      <c r="H41" s="931"/>
      <c r="I41" s="581" t="s">
        <v>530</v>
      </c>
      <c r="J41" s="931"/>
      <c r="K41" s="220"/>
    </row>
    <row r="42" spans="1:11" s="1823" customFormat="1" ht="45" customHeight="1">
      <c r="A42" s="2362"/>
      <c r="B42" s="437"/>
      <c r="D42" s="586" t="s">
        <v>315</v>
      </c>
      <c r="E42" s="642" t="s">
        <v>763</v>
      </c>
      <c r="F42" s="581" t="s">
        <v>542</v>
      </c>
      <c r="G42" s="482"/>
      <c r="H42" s="931"/>
      <c r="I42" s="482"/>
      <c r="J42" s="931"/>
      <c r="K42" s="220" t="s">
        <v>764</v>
      </c>
    </row>
    <row r="43" spans="1:11" s="1823" customFormat="1" ht="45" customHeight="1">
      <c r="A43" s="2362"/>
      <c r="B43" s="437"/>
      <c r="D43" s="586" t="s">
        <v>323</v>
      </c>
      <c r="E43" s="588" t="s">
        <v>765</v>
      </c>
      <c r="F43" s="935" t="s">
        <v>542</v>
      </c>
      <c r="G43" s="660"/>
      <c r="H43" s="930"/>
      <c r="I43" s="660"/>
      <c r="J43" s="930"/>
      <c r="K43" s="220" t="s">
        <v>766</v>
      </c>
    </row>
    <row r="44" spans="1:11" s="1823" customFormat="1" ht="11.25" customHeight="1">
      <c r="A44" s="2362"/>
      <c r="B44" s="437"/>
      <c r="D44" s="586" t="s">
        <v>90</v>
      </c>
      <c r="E44" s="587" t="s">
        <v>767</v>
      </c>
      <c r="F44" s="581" t="s">
        <v>757</v>
      </c>
      <c r="G44" s="589"/>
      <c r="H44" s="930"/>
      <c r="I44" s="589"/>
      <c r="J44" s="930"/>
      <c r="K44" s="207"/>
    </row>
    <row r="45" spans="1:11" s="1823" customFormat="1" ht="11.25" customHeight="1">
      <c r="A45" s="2362"/>
      <c r="B45" s="437"/>
      <c r="D45" s="586" t="s">
        <v>651</v>
      </c>
      <c r="E45" s="588" t="s">
        <v>768</v>
      </c>
      <c r="F45" s="581" t="s">
        <v>757</v>
      </c>
      <c r="G45" s="589"/>
      <c r="H45" s="930"/>
      <c r="I45" s="589"/>
      <c r="J45" s="930"/>
      <c r="K45" s="207"/>
    </row>
    <row r="46" spans="1:11" s="1823" customFormat="1" ht="11.25" customHeight="1">
      <c r="A46" s="2362"/>
      <c r="B46" s="437"/>
      <c r="D46" s="586" t="s">
        <v>694</v>
      </c>
      <c r="E46" s="588" t="s">
        <v>769</v>
      </c>
      <c r="F46" s="581" t="s">
        <v>757</v>
      </c>
      <c r="G46" s="589"/>
      <c r="H46" s="930"/>
      <c r="I46" s="589"/>
      <c r="J46" s="930"/>
      <c r="K46" s="207"/>
    </row>
    <row r="47" spans="1:11" s="1823" customFormat="1" ht="11.25" customHeight="1">
      <c r="A47" s="2362"/>
      <c r="B47" s="437"/>
      <c r="D47" s="586" t="s">
        <v>697</v>
      </c>
      <c r="E47" s="588" t="s">
        <v>770</v>
      </c>
      <c r="F47" s="581" t="s">
        <v>757</v>
      </c>
      <c r="G47" s="589"/>
      <c r="H47" s="930"/>
      <c r="I47" s="589"/>
      <c r="J47" s="930"/>
      <c r="K47" s="207"/>
    </row>
    <row r="48" spans="1:11" s="1823" customFormat="1" ht="11.25" customHeight="1">
      <c r="A48" s="2362"/>
      <c r="B48" s="437"/>
      <c r="D48" s="586" t="s">
        <v>771</v>
      </c>
      <c r="E48" s="592" t="s">
        <v>772</v>
      </c>
      <c r="F48" s="581" t="s">
        <v>757</v>
      </c>
      <c r="G48" s="589"/>
      <c r="H48" s="930"/>
      <c r="I48" s="589"/>
      <c r="J48" s="930"/>
      <c r="K48" s="207"/>
    </row>
    <row r="49" spans="1:11" s="1823" customFormat="1" ht="11.25" customHeight="1">
      <c r="A49" s="2362"/>
      <c r="B49" s="437"/>
      <c r="D49" s="586" t="s">
        <v>773</v>
      </c>
      <c r="E49" s="592" t="s">
        <v>774</v>
      </c>
      <c r="F49" s="581" t="s">
        <v>757</v>
      </c>
      <c r="G49" s="589"/>
      <c r="H49" s="930"/>
      <c r="I49" s="589"/>
      <c r="J49" s="930"/>
      <c r="K49" s="207"/>
    </row>
    <row r="50" spans="1:11" s="1823" customFormat="1" ht="11.25" customHeight="1">
      <c r="A50" s="2362"/>
      <c r="B50" s="437"/>
      <c r="D50" s="586" t="s">
        <v>775</v>
      </c>
      <c r="E50" s="588" t="s">
        <v>776</v>
      </c>
      <c r="F50" s="581" t="s">
        <v>757</v>
      </c>
      <c r="G50" s="589"/>
      <c r="H50" s="930"/>
      <c r="I50" s="589"/>
      <c r="J50" s="930"/>
      <c r="K50" s="207"/>
    </row>
    <row r="51" spans="1:11" s="1823" customFormat="1" ht="11.25" customHeight="1">
      <c r="A51" s="2362"/>
      <c r="B51" s="437"/>
      <c r="D51" s="586" t="s">
        <v>777</v>
      </c>
      <c r="E51" s="588" t="s">
        <v>778</v>
      </c>
      <c r="F51" s="581" t="s">
        <v>757</v>
      </c>
      <c r="G51" s="589"/>
      <c r="H51" s="930"/>
      <c r="I51" s="589"/>
      <c r="J51" s="930"/>
      <c r="K51" s="207"/>
    </row>
    <row r="52" spans="1:11" s="1823" customFormat="1" ht="45" customHeight="1">
      <c r="A52" s="2362"/>
      <c r="B52" s="437"/>
      <c r="D52" s="586" t="s">
        <v>110</v>
      </c>
      <c r="E52" s="587" t="s">
        <v>779</v>
      </c>
      <c r="F52" s="581" t="s">
        <v>757</v>
      </c>
      <c r="G52" s="589"/>
      <c r="H52" s="930"/>
      <c r="I52" s="589"/>
      <c r="J52" s="930"/>
      <c r="K52" s="207"/>
    </row>
    <row r="53" spans="1:11" s="1823" customFormat="1" ht="11.25" customHeight="1">
      <c r="A53" s="2362"/>
      <c r="B53" s="437"/>
      <c r="D53" s="586" t="s">
        <v>304</v>
      </c>
      <c r="E53" s="588" t="s">
        <v>768</v>
      </c>
      <c r="F53" s="581" t="s">
        <v>757</v>
      </c>
      <c r="G53" s="589"/>
      <c r="H53" s="930"/>
      <c r="I53" s="589"/>
      <c r="J53" s="930"/>
      <c r="K53" s="207"/>
    </row>
    <row r="54" spans="1:11" s="1823" customFormat="1" ht="11.25" customHeight="1">
      <c r="A54" s="2362"/>
      <c r="B54" s="437"/>
      <c r="D54" s="586" t="s">
        <v>306</v>
      </c>
      <c r="E54" s="588" t="s">
        <v>769</v>
      </c>
      <c r="F54" s="581" t="s">
        <v>757</v>
      </c>
      <c r="G54" s="589"/>
      <c r="H54" s="930"/>
      <c r="I54" s="589"/>
      <c r="J54" s="930"/>
      <c r="K54" s="207"/>
    </row>
    <row r="55" spans="1:11" s="1823" customFormat="1" ht="11.25" customHeight="1">
      <c r="A55" s="2362"/>
      <c r="B55" s="437"/>
      <c r="D55" s="586" t="s">
        <v>309</v>
      </c>
      <c r="E55" s="588" t="s">
        <v>770</v>
      </c>
      <c r="F55" s="581" t="s">
        <v>757</v>
      </c>
      <c r="G55" s="589"/>
      <c r="H55" s="930"/>
      <c r="I55" s="589"/>
      <c r="J55" s="930"/>
      <c r="K55" s="207"/>
    </row>
    <row r="56" spans="1:11" s="1823" customFormat="1" ht="11.25" customHeight="1">
      <c r="A56" s="2362"/>
      <c r="B56" s="437"/>
      <c r="D56" s="586" t="s">
        <v>780</v>
      </c>
      <c r="E56" s="592" t="s">
        <v>772</v>
      </c>
      <c r="F56" s="581" t="s">
        <v>757</v>
      </c>
      <c r="G56" s="589"/>
      <c r="H56" s="930"/>
      <c r="I56" s="589"/>
      <c r="J56" s="930"/>
      <c r="K56" s="207"/>
    </row>
    <row r="57" spans="1:11" s="1823" customFormat="1" ht="11.25" customHeight="1">
      <c r="A57" s="2362"/>
      <c r="B57" s="437"/>
      <c r="D57" s="586" t="s">
        <v>781</v>
      </c>
      <c r="E57" s="592" t="s">
        <v>774</v>
      </c>
      <c r="F57" s="581" t="s">
        <v>757</v>
      </c>
      <c r="G57" s="589"/>
      <c r="H57" s="930"/>
      <c r="I57" s="589"/>
      <c r="J57" s="930"/>
      <c r="K57" s="207"/>
    </row>
    <row r="58" spans="1:11" s="1823" customFormat="1" ht="11.25" customHeight="1">
      <c r="A58" s="2362"/>
      <c r="B58" s="437"/>
      <c r="D58" s="586" t="s">
        <v>311</v>
      </c>
      <c r="E58" s="588" t="s">
        <v>776</v>
      </c>
      <c r="F58" s="581" t="s">
        <v>757</v>
      </c>
      <c r="G58" s="589"/>
      <c r="H58" s="930"/>
      <c r="I58" s="589"/>
      <c r="J58" s="930"/>
      <c r="K58" s="207"/>
    </row>
    <row r="59" spans="1:11" s="1823" customFormat="1" ht="11.25" customHeight="1">
      <c r="A59" s="2362"/>
      <c r="B59" s="437"/>
      <c r="D59" s="586" t="s">
        <v>782</v>
      </c>
      <c r="E59" s="588" t="s">
        <v>778</v>
      </c>
      <c r="F59" s="581" t="s">
        <v>757</v>
      </c>
      <c r="G59" s="589"/>
      <c r="H59" s="930"/>
      <c r="I59" s="589"/>
      <c r="J59" s="930"/>
      <c r="K59" s="207"/>
    </row>
    <row r="60" spans="1:11" s="1823" customFormat="1" ht="33.75" customHeight="1">
      <c r="A60" s="2362"/>
      <c r="B60" s="437"/>
      <c r="D60" s="586" t="s">
        <v>91</v>
      </c>
      <c r="E60" s="587" t="s">
        <v>783</v>
      </c>
      <c r="F60" s="640" t="s">
        <v>542</v>
      </c>
      <c r="G60" s="660"/>
      <c r="H60" s="930"/>
      <c r="I60" s="660"/>
      <c r="J60" s="930"/>
      <c r="K60" s="220" t="s">
        <v>784</v>
      </c>
    </row>
    <row r="61" spans="1:11" s="1823" customFormat="1" ht="33.75" customHeight="1">
      <c r="A61" s="2362"/>
      <c r="B61" s="437"/>
      <c r="D61" s="586" t="s">
        <v>92</v>
      </c>
      <c r="E61" s="587" t="s">
        <v>785</v>
      </c>
      <c r="F61" s="645" t="s">
        <v>718</v>
      </c>
      <c r="G61" s="589"/>
      <c r="H61" s="930"/>
      <c r="I61" s="589"/>
      <c r="J61" s="930"/>
      <c r="K61" s="207"/>
    </row>
    <row r="62" spans="1:11" s="1823" customFormat="1" ht="22.5" customHeight="1">
      <c r="A62" s="2362"/>
      <c r="B62" s="437" t="s">
        <v>572</v>
      </c>
      <c r="D62" s="586" t="s">
        <v>111</v>
      </c>
      <c r="E62" s="587" t="s">
        <v>786</v>
      </c>
      <c r="F62" s="645" t="s">
        <v>295</v>
      </c>
      <c r="G62" s="316"/>
      <c r="H62" s="930"/>
      <c r="I62" s="316"/>
      <c r="J62" s="930"/>
      <c r="K62" s="207" t="s">
        <v>787</v>
      </c>
    </row>
    <row r="63" spans="1:11" s="1823" customFormat="1" ht="45" customHeight="1">
      <c r="A63" s="2362"/>
      <c r="B63" s="437" t="s">
        <v>572</v>
      </c>
      <c r="D63" s="586" t="s">
        <v>788</v>
      </c>
      <c r="E63" s="588" t="s">
        <v>789</v>
      </c>
      <c r="F63" s="640" t="s">
        <v>295</v>
      </c>
      <c r="G63" s="316"/>
      <c r="H63" s="930"/>
      <c r="I63" s="316"/>
      <c r="J63" s="930"/>
      <c r="K63" s="207" t="s">
        <v>787</v>
      </c>
    </row>
    <row r="64" spans="1:11" s="1825" customFormat="1" ht="11.25" customHeight="1">
      <c r="A64" s="940"/>
      <c r="B64" s="444"/>
      <c r="D64" s="941"/>
      <c r="E64" s="942"/>
    </row>
    <row r="65" spans="1:11" s="1823" customFormat="1" ht="22.5" hidden="1" customHeight="1">
      <c r="A65" s="2362" t="s">
        <v>790</v>
      </c>
      <c r="B65" s="437"/>
      <c r="D65" s="586">
        <v>1</v>
      </c>
      <c r="E65" s="662" t="s">
        <v>791</v>
      </c>
      <c r="F65" s="658" t="s">
        <v>708</v>
      </c>
      <c r="G65" s="659"/>
      <c r="H65" s="936"/>
      <c r="I65" s="659"/>
      <c r="J65" s="936"/>
      <c r="K65" s="219" t="s">
        <v>792</v>
      </c>
    </row>
    <row r="66" spans="1:11" s="1823" customFormat="1" ht="56.25" hidden="1" customHeight="1">
      <c r="A66" s="2362"/>
      <c r="B66" s="437"/>
      <c r="D66" s="661" t="s">
        <v>109</v>
      </c>
      <c r="E66" s="626" t="s">
        <v>793</v>
      </c>
      <c r="F66" s="581" t="s">
        <v>530</v>
      </c>
      <c r="G66" s="581" t="s">
        <v>530</v>
      </c>
      <c r="H66" s="445"/>
      <c r="I66" s="581" t="s">
        <v>530</v>
      </c>
      <c r="J66" s="445"/>
      <c r="K66" s="207"/>
    </row>
    <row r="67" spans="1:11" s="1823" customFormat="1" ht="33.75" hidden="1" customHeight="1">
      <c r="A67" s="2362"/>
      <c r="B67" s="437"/>
      <c r="D67" s="661" t="s">
        <v>606</v>
      </c>
      <c r="E67" s="863" t="s">
        <v>794</v>
      </c>
      <c r="F67" s="581" t="s">
        <v>760</v>
      </c>
      <c r="G67" s="646"/>
      <c r="H67" s="445"/>
      <c r="I67" s="646"/>
      <c r="J67" s="445"/>
      <c r="K67" s="207"/>
    </row>
    <row r="68" spans="1:11" s="1823" customFormat="1" ht="22.5" hidden="1" customHeight="1">
      <c r="A68" s="2362"/>
      <c r="B68" s="437"/>
      <c r="D68" s="661" t="s">
        <v>296</v>
      </c>
      <c r="E68" s="863" t="s">
        <v>795</v>
      </c>
      <c r="F68" s="581" t="s">
        <v>760</v>
      </c>
      <c r="G68" s="646"/>
      <c r="H68" s="445"/>
      <c r="I68" s="646"/>
      <c r="J68" s="445"/>
      <c r="K68" s="207"/>
    </row>
    <row r="69" spans="1:11" s="1823" customFormat="1" ht="22.5" hidden="1" customHeight="1">
      <c r="A69" s="2362"/>
      <c r="B69" s="437"/>
      <c r="D69" s="661" t="s">
        <v>299</v>
      </c>
      <c r="E69" s="863" t="s">
        <v>796</v>
      </c>
      <c r="F69" s="640" t="s">
        <v>542</v>
      </c>
      <c r="G69" s="660"/>
      <c r="H69" s="445"/>
      <c r="I69" s="660"/>
      <c r="J69" s="445"/>
      <c r="K69" s="207"/>
    </row>
    <row r="70" spans="1:11" s="1823" customFormat="1" ht="22.5" hidden="1" customHeight="1">
      <c r="A70" s="2362"/>
      <c r="B70" s="437"/>
      <c r="D70" s="661" t="s">
        <v>626</v>
      </c>
      <c r="E70" s="863" t="s">
        <v>797</v>
      </c>
      <c r="F70" s="640" t="s">
        <v>542</v>
      </c>
      <c r="G70" s="660"/>
      <c r="H70" s="445"/>
      <c r="I70" s="660"/>
      <c r="J70" s="445"/>
      <c r="K70" s="207"/>
    </row>
    <row r="71" spans="1:11" s="1823" customFormat="1" ht="22.5" hidden="1" customHeight="1">
      <c r="A71" s="2362"/>
      <c r="B71" s="437"/>
      <c r="D71" s="586" t="s">
        <v>89</v>
      </c>
      <c r="E71" s="587" t="s">
        <v>798</v>
      </c>
      <c r="F71" s="581" t="s">
        <v>760</v>
      </c>
      <c r="G71" s="482"/>
      <c r="H71" s="937"/>
      <c r="I71" s="482"/>
      <c r="J71" s="937"/>
      <c r="K71" s="220"/>
    </row>
    <row r="72" spans="1:11" s="1823" customFormat="1" ht="56.25" hidden="1" customHeight="1">
      <c r="A72" s="2362"/>
      <c r="B72" s="437"/>
      <c r="D72" s="586" t="s">
        <v>90</v>
      </c>
      <c r="E72" s="587" t="s">
        <v>799</v>
      </c>
      <c r="F72" s="640" t="s">
        <v>542</v>
      </c>
      <c r="G72" s="660"/>
      <c r="H72" s="930"/>
      <c r="I72" s="660"/>
      <c r="J72" s="930"/>
      <c r="K72" s="220"/>
    </row>
    <row r="73" spans="1:11" s="1823" customFormat="1" ht="33.75" hidden="1" customHeight="1">
      <c r="A73" s="2362"/>
      <c r="B73" s="437"/>
      <c r="D73" s="586" t="s">
        <v>110</v>
      </c>
      <c r="E73" s="587" t="s">
        <v>800</v>
      </c>
      <c r="F73" s="645" t="s">
        <v>718</v>
      </c>
      <c r="G73" s="589"/>
      <c r="H73" s="930"/>
      <c r="I73" s="589"/>
      <c r="J73" s="930"/>
      <c r="K73" s="207"/>
    </row>
    <row r="74" spans="1:11" s="1823" customFormat="1" ht="22.5" hidden="1" customHeight="1">
      <c r="A74" s="2362"/>
      <c r="B74" s="437" t="s">
        <v>572</v>
      </c>
      <c r="D74" s="586" t="s">
        <v>91</v>
      </c>
      <c r="E74" s="587" t="s">
        <v>801</v>
      </c>
      <c r="F74" s="645" t="s">
        <v>295</v>
      </c>
      <c r="G74" s="316"/>
      <c r="H74" s="930"/>
      <c r="I74" s="316"/>
      <c r="J74" s="930"/>
      <c r="K74" s="207" t="s">
        <v>787</v>
      </c>
    </row>
    <row r="75" spans="1:11" s="1823" customFormat="1" ht="45" hidden="1" customHeight="1">
      <c r="A75" s="2362"/>
      <c r="B75" s="437" t="s">
        <v>572</v>
      </c>
      <c r="D75" s="586" t="s">
        <v>802</v>
      </c>
      <c r="E75" s="588" t="s">
        <v>803</v>
      </c>
      <c r="F75" s="640" t="s">
        <v>295</v>
      </c>
      <c r="G75" s="316"/>
      <c r="H75" s="930"/>
      <c r="I75" s="316"/>
      <c r="J75" s="930"/>
      <c r="K75" s="207" t="s">
        <v>787</v>
      </c>
    </row>
    <row r="76" spans="1:11" s="1825" customFormat="1" ht="11.25" customHeight="1">
      <c r="A76" s="940"/>
      <c r="B76" s="444"/>
      <c r="D76" s="941"/>
      <c r="E76" s="942"/>
    </row>
    <row r="77" spans="1:11" s="1823" customFormat="1" ht="11.25" hidden="1" customHeight="1">
      <c r="A77" s="2362" t="s">
        <v>804</v>
      </c>
      <c r="B77" s="437"/>
      <c r="D77" s="586">
        <v>1</v>
      </c>
      <c r="E77" s="587" t="s">
        <v>805</v>
      </c>
      <c r="F77" s="640" t="s">
        <v>708</v>
      </c>
      <c r="G77" s="643"/>
      <c r="H77" s="930"/>
      <c r="I77" s="643"/>
      <c r="J77" s="930"/>
      <c r="K77" s="207" t="s">
        <v>806</v>
      </c>
    </row>
    <row r="78" spans="1:11" s="1823" customFormat="1" ht="11.25" hidden="1" customHeight="1">
      <c r="A78" s="2362"/>
      <c r="B78" s="437"/>
      <c r="D78" s="586" t="s">
        <v>109</v>
      </c>
      <c r="E78" s="587" t="s">
        <v>807</v>
      </c>
      <c r="F78" s="640" t="s">
        <v>708</v>
      </c>
      <c r="G78" s="643"/>
      <c r="H78" s="930"/>
      <c r="I78" s="643"/>
      <c r="J78" s="930"/>
      <c r="K78" s="207" t="s">
        <v>808</v>
      </c>
    </row>
    <row r="79" spans="1:11" s="1823" customFormat="1" ht="22.5" hidden="1" customHeight="1">
      <c r="A79" s="2362"/>
      <c r="B79" s="437"/>
      <c r="D79" s="586" t="s">
        <v>89</v>
      </c>
      <c r="E79" s="641" t="s">
        <v>809</v>
      </c>
      <c r="F79" s="581" t="s">
        <v>757</v>
      </c>
      <c r="G79" s="643"/>
      <c r="H79" s="930"/>
      <c r="I79" s="643"/>
      <c r="J79" s="930"/>
      <c r="K79" s="207" t="s">
        <v>810</v>
      </c>
    </row>
    <row r="80" spans="1:11" s="1823" customFormat="1" ht="11.25" hidden="1" customHeight="1">
      <c r="A80" s="2362"/>
      <c r="B80" s="437"/>
      <c r="D80" s="586" t="s">
        <v>315</v>
      </c>
      <c r="E80" s="642" t="s">
        <v>811</v>
      </c>
      <c r="F80" s="581" t="s">
        <v>757</v>
      </c>
      <c r="G80" s="643"/>
      <c r="H80" s="930"/>
      <c r="I80" s="643"/>
      <c r="J80" s="930"/>
      <c r="K80" s="207"/>
    </row>
    <row r="81" spans="1:11" s="1823" customFormat="1" ht="11.25" hidden="1" customHeight="1">
      <c r="A81" s="2362"/>
      <c r="B81" s="437"/>
      <c r="D81" s="586" t="s">
        <v>323</v>
      </c>
      <c r="E81" s="642" t="s">
        <v>812</v>
      </c>
      <c r="F81" s="581" t="s">
        <v>757</v>
      </c>
      <c r="G81" s="643"/>
      <c r="H81" s="930"/>
      <c r="I81" s="643"/>
      <c r="J81" s="930"/>
      <c r="K81" s="207"/>
    </row>
    <row r="82" spans="1:11" s="1823" customFormat="1" ht="11.25" hidden="1" customHeight="1">
      <c r="A82" s="2362"/>
      <c r="B82" s="437"/>
      <c r="D82" s="586" t="s">
        <v>325</v>
      </c>
      <c r="E82" s="642" t="s">
        <v>813</v>
      </c>
      <c r="F82" s="581" t="s">
        <v>757</v>
      </c>
      <c r="G82" s="643"/>
      <c r="H82" s="930"/>
      <c r="I82" s="643"/>
      <c r="J82" s="930"/>
      <c r="K82" s="207"/>
    </row>
    <row r="83" spans="1:11" s="1823" customFormat="1" ht="11.25" hidden="1" customHeight="1">
      <c r="A83" s="2362"/>
      <c r="B83" s="437"/>
      <c r="D83" s="586" t="s">
        <v>327</v>
      </c>
      <c r="E83" s="642" t="s">
        <v>814</v>
      </c>
      <c r="F83" s="581" t="s">
        <v>757</v>
      </c>
      <c r="G83" s="643"/>
      <c r="H83" s="930"/>
      <c r="I83" s="643"/>
      <c r="J83" s="930"/>
      <c r="K83" s="207"/>
    </row>
    <row r="84" spans="1:11" s="1823" customFormat="1" ht="11.25" hidden="1" customHeight="1">
      <c r="A84" s="2362"/>
      <c r="B84" s="437"/>
      <c r="D84" s="586" t="s">
        <v>815</v>
      </c>
      <c r="E84" s="642" t="s">
        <v>816</v>
      </c>
      <c r="F84" s="581" t="s">
        <v>757</v>
      </c>
      <c r="G84" s="643"/>
      <c r="H84" s="930"/>
      <c r="I84" s="643"/>
      <c r="J84" s="930"/>
      <c r="K84" s="207"/>
    </row>
    <row r="85" spans="1:11" s="1823" customFormat="1" ht="11.25" hidden="1" customHeight="1">
      <c r="A85" s="2362"/>
      <c r="B85" s="437"/>
      <c r="D85" s="586" t="s">
        <v>817</v>
      </c>
      <c r="E85" s="642" t="s">
        <v>818</v>
      </c>
      <c r="F85" s="581" t="s">
        <v>757</v>
      </c>
      <c r="G85" s="643"/>
      <c r="H85" s="930"/>
      <c r="I85" s="643"/>
      <c r="J85" s="930"/>
      <c r="K85" s="207"/>
    </row>
    <row r="86" spans="1:11" s="1823" customFormat="1" ht="11.25" hidden="1" customHeight="1">
      <c r="A86" s="2362"/>
      <c r="B86" s="437"/>
      <c r="D86" s="586" t="s">
        <v>819</v>
      </c>
      <c r="E86" s="642" t="s">
        <v>820</v>
      </c>
      <c r="F86" s="581" t="s">
        <v>757</v>
      </c>
      <c r="G86" s="643"/>
      <c r="H86" s="930"/>
      <c r="I86" s="643"/>
      <c r="J86" s="930"/>
      <c r="K86" s="207"/>
    </row>
    <row r="87" spans="1:11" s="1823" customFormat="1" ht="45" hidden="1" customHeight="1">
      <c r="A87" s="2362"/>
      <c r="B87" s="437"/>
      <c r="D87" s="586" t="s">
        <v>90</v>
      </c>
      <c r="E87" s="587" t="s">
        <v>821</v>
      </c>
      <c r="F87" s="581" t="s">
        <v>757</v>
      </c>
      <c r="G87" s="643"/>
      <c r="H87" s="930"/>
      <c r="I87" s="643"/>
      <c r="J87" s="930"/>
      <c r="K87" s="207" t="s">
        <v>822</v>
      </c>
    </row>
    <row r="88" spans="1:11" s="1823" customFormat="1" ht="11.25" hidden="1" customHeight="1">
      <c r="A88" s="2362"/>
      <c r="B88" s="437"/>
      <c r="D88" s="586" t="s">
        <v>651</v>
      </c>
      <c r="E88" s="642" t="s">
        <v>811</v>
      </c>
      <c r="F88" s="581" t="s">
        <v>757</v>
      </c>
      <c r="G88" s="643"/>
      <c r="H88" s="930"/>
      <c r="I88" s="643"/>
      <c r="J88" s="930"/>
      <c r="K88" s="207"/>
    </row>
    <row r="89" spans="1:11" s="1823" customFormat="1" ht="11.25" hidden="1" customHeight="1">
      <c r="A89" s="2362"/>
      <c r="B89" s="437"/>
      <c r="D89" s="586" t="s">
        <v>694</v>
      </c>
      <c r="E89" s="642" t="s">
        <v>812</v>
      </c>
      <c r="F89" s="581" t="s">
        <v>757</v>
      </c>
      <c r="G89" s="643"/>
      <c r="H89" s="930"/>
      <c r="I89" s="643"/>
      <c r="J89" s="930"/>
      <c r="K89" s="207"/>
    </row>
    <row r="90" spans="1:11" s="1823" customFormat="1" ht="11.25" hidden="1" customHeight="1">
      <c r="A90" s="2362"/>
      <c r="B90" s="437"/>
      <c r="D90" s="586" t="s">
        <v>697</v>
      </c>
      <c r="E90" s="642" t="s">
        <v>813</v>
      </c>
      <c r="F90" s="581" t="s">
        <v>757</v>
      </c>
      <c r="G90" s="643"/>
      <c r="H90" s="930"/>
      <c r="I90" s="643"/>
      <c r="J90" s="930"/>
      <c r="K90" s="207"/>
    </row>
    <row r="91" spans="1:11" s="1823" customFormat="1" ht="11.25" hidden="1" customHeight="1">
      <c r="A91" s="2362"/>
      <c r="B91" s="437"/>
      <c r="D91" s="586" t="s">
        <v>775</v>
      </c>
      <c r="E91" s="642" t="s">
        <v>814</v>
      </c>
      <c r="F91" s="581" t="s">
        <v>757</v>
      </c>
      <c r="G91" s="643"/>
      <c r="H91" s="930"/>
      <c r="I91" s="643"/>
      <c r="J91" s="930"/>
      <c r="K91" s="207"/>
    </row>
    <row r="92" spans="1:11" s="1823" customFormat="1" ht="11.25" hidden="1" customHeight="1">
      <c r="A92" s="2362"/>
      <c r="B92" s="437"/>
      <c r="D92" s="586" t="s">
        <v>777</v>
      </c>
      <c r="E92" s="642" t="s">
        <v>816</v>
      </c>
      <c r="F92" s="581" t="s">
        <v>757</v>
      </c>
      <c r="G92" s="643"/>
      <c r="H92" s="930"/>
      <c r="I92" s="643"/>
      <c r="J92" s="930"/>
      <c r="K92" s="207"/>
    </row>
    <row r="93" spans="1:11" s="1823" customFormat="1" ht="11.25" hidden="1" customHeight="1">
      <c r="A93" s="2362"/>
      <c r="B93" s="437"/>
      <c r="D93" s="586" t="s">
        <v>823</v>
      </c>
      <c r="E93" s="642" t="s">
        <v>818</v>
      </c>
      <c r="F93" s="581" t="s">
        <v>757</v>
      </c>
      <c r="G93" s="643"/>
      <c r="H93" s="930"/>
      <c r="I93" s="643"/>
      <c r="J93" s="930"/>
      <c r="K93" s="207"/>
    </row>
    <row r="94" spans="1:11" s="1823" customFormat="1" ht="11.25" hidden="1" customHeight="1">
      <c r="A94" s="2362"/>
      <c r="B94" s="437"/>
      <c r="D94" s="586" t="s">
        <v>824</v>
      </c>
      <c r="E94" s="642" t="s">
        <v>820</v>
      </c>
      <c r="F94" s="581" t="s">
        <v>757</v>
      </c>
      <c r="G94" s="643"/>
      <c r="H94" s="930"/>
      <c r="I94" s="643"/>
      <c r="J94" s="930"/>
      <c r="K94" s="207"/>
    </row>
    <row r="95" spans="1:11" s="1823" customFormat="1" ht="24.75" hidden="1" customHeight="1">
      <c r="A95" s="2362"/>
      <c r="B95" s="437"/>
      <c r="D95" s="586" t="s">
        <v>110</v>
      </c>
      <c r="E95" s="587" t="s">
        <v>825</v>
      </c>
      <c r="F95" s="644" t="s">
        <v>542</v>
      </c>
      <c r="G95" s="646"/>
      <c r="H95" s="930"/>
      <c r="I95" s="646"/>
      <c r="J95" s="930"/>
      <c r="K95" s="207" t="s">
        <v>826</v>
      </c>
    </row>
    <row r="96" spans="1:11" s="1823" customFormat="1" ht="33.75" hidden="1" customHeight="1">
      <c r="A96" s="2362"/>
      <c r="B96" s="437"/>
      <c r="D96" s="586" t="s">
        <v>91</v>
      </c>
      <c r="E96" s="587" t="s">
        <v>827</v>
      </c>
      <c r="F96" s="645" t="s">
        <v>718</v>
      </c>
      <c r="G96" s="647"/>
      <c r="H96" s="930"/>
      <c r="I96" s="647"/>
      <c r="J96" s="930"/>
      <c r="K96" s="207"/>
    </row>
    <row r="97" spans="1:11" s="1823" customFormat="1" ht="22.5" hidden="1" customHeight="1">
      <c r="A97" s="2362"/>
      <c r="B97" s="437" t="s">
        <v>572</v>
      </c>
      <c r="D97" s="586" t="s">
        <v>92</v>
      </c>
      <c r="E97" s="587" t="s">
        <v>828</v>
      </c>
      <c r="F97" s="645" t="s">
        <v>295</v>
      </c>
      <c r="G97" s="319"/>
      <c r="H97" s="930"/>
      <c r="I97" s="319"/>
      <c r="J97" s="930"/>
      <c r="K97" s="207" t="s">
        <v>787</v>
      </c>
    </row>
    <row r="98" spans="1:11" s="1823" customFormat="1" ht="45" hidden="1" customHeight="1">
      <c r="A98" s="2362"/>
      <c r="B98" s="437" t="s">
        <v>572</v>
      </c>
      <c r="D98" s="586" t="s">
        <v>829</v>
      </c>
      <c r="E98" s="588" t="s">
        <v>830</v>
      </c>
      <c r="F98" s="640" t="s">
        <v>295</v>
      </c>
      <c r="G98" s="319"/>
      <c r="H98" s="930"/>
      <c r="I98" s="319"/>
      <c r="J98" s="930"/>
      <c r="K98" s="207" t="s">
        <v>787</v>
      </c>
    </row>
    <row r="99" spans="1:11" s="1823" customFormat="1" ht="95.25" hidden="1" customHeight="1">
      <c r="A99" s="2362"/>
      <c r="B99" s="437" t="s">
        <v>572</v>
      </c>
      <c r="D99" s="586" t="s">
        <v>111</v>
      </c>
      <c r="E99" s="587" t="s">
        <v>831</v>
      </c>
      <c r="F99" s="640" t="s">
        <v>295</v>
      </c>
      <c r="G99" s="319"/>
      <c r="H99" s="930"/>
      <c r="I99" s="319"/>
      <c r="J99" s="930"/>
      <c r="K99" s="207" t="s">
        <v>787</v>
      </c>
    </row>
    <row r="100" spans="1:11" s="1823" customFormat="1" ht="22.5" hidden="1" customHeight="1">
      <c r="A100" s="2362"/>
      <c r="B100" s="437" t="s">
        <v>572</v>
      </c>
      <c r="D100" s="586" t="s">
        <v>147</v>
      </c>
      <c r="E100" s="587" t="s">
        <v>832</v>
      </c>
      <c r="F100" s="640" t="s">
        <v>295</v>
      </c>
      <c r="G100" s="319"/>
      <c r="H100" s="930"/>
      <c r="I100" s="319"/>
      <c r="J100" s="930"/>
      <c r="K100" s="207" t="s">
        <v>787</v>
      </c>
    </row>
    <row r="101" spans="1:11" s="1825" customFormat="1" ht="11.25" customHeight="1">
      <c r="A101" s="940"/>
      <c r="B101" s="444"/>
      <c r="D101" s="941"/>
      <c r="E101" s="942"/>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100-000000000000}">
      <formula1>900</formula1>
    </dataValidation>
    <dataValidation type="whole" allowBlank="1" showErrorMessage="1" errorTitle="Ошибка" error="Допускается ввод только неотрицательных целых чисел!" sqref="G16:G17 I16:I17" xr:uid="{00000000-0002-0000-21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xr:uid="{00000000-0002-0000-2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xr:uid="{00000000-0002-0000-2100-000003000000}">
      <formula1>900</formula1>
    </dataValidation>
    <dataValidation type="decimal" allowBlank="1" showErrorMessage="1" errorTitle="Ошибка" error="Введите значение от 0 до 100%" sqref="G31 G95 G60 G72 G42:G43 G69:G70 I31 I95 I60 I72 I42:I43 I69:I70" xr:uid="{00000000-0002-0000-21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1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7F2BE-F163-3A3E-BBA1-97E6A8EF901E}">
  <sheetPr>
    <tabColor rgb="FFE26B0A"/>
  </sheetPr>
  <dimension ref="A1:U39"/>
  <sheetViews>
    <sheetView showGridLines="0" topLeftCell="C21" zoomScale="90" workbookViewId="0"/>
  </sheetViews>
  <sheetFormatPr defaultColWidth="10.5703125" defaultRowHeight="15" customHeight="1"/>
  <cols>
    <col min="1" max="1" width="9.140625" style="1920" hidden="1" customWidth="1"/>
    <col min="2" max="2" width="9.140625" style="1922" hidden="1" customWidth="1"/>
    <col min="3" max="3" width="4.7109375" style="2024" customWidth="1"/>
    <col min="4" max="4" width="6.28515625" style="1922" customWidth="1"/>
    <col min="5" max="5" width="36.7109375" style="1922" customWidth="1"/>
    <col min="6" max="6" width="9.5703125" style="1922" customWidth="1"/>
    <col min="7" max="7" width="25.7109375" style="1823" hidden="1" customWidth="1"/>
    <col min="8" max="8" width="33.7109375" style="1823" hidden="1" customWidth="1"/>
    <col min="9" max="9" width="25.7109375" style="1922" customWidth="1"/>
    <col min="10" max="10" width="33.7109375" style="1922" customWidth="1"/>
    <col min="11" max="11" width="93.42578125" style="1824" customWidth="1"/>
    <col min="12" max="20" width="10.5703125" style="1922"/>
    <col min="21" max="21" width="10.5703125" style="2023"/>
  </cols>
  <sheetData>
    <row r="1" spans="1:21" s="1824" customFormat="1" ht="15" hidden="1" customHeight="1">
      <c r="C1" s="593"/>
      <c r="G1" s="351">
        <v>4</v>
      </c>
      <c r="I1" s="351">
        <v>4</v>
      </c>
      <c r="U1" s="353"/>
    </row>
    <row r="2" spans="1:21" s="1824" customFormat="1" ht="15" hidden="1" customHeight="1">
      <c r="C2" s="593"/>
      <c r="U2" s="353"/>
    </row>
    <row r="3" spans="1:21" ht="22.5" hidden="1" customHeight="1">
      <c r="A3" s="431"/>
      <c r="B3" s="2367"/>
      <c r="C3" s="2368"/>
      <c r="D3" s="609" t="str">
        <f>B3&amp;".1"</f>
        <v>.1</v>
      </c>
      <c r="E3" s="610" t="s">
        <v>833</v>
      </c>
      <c r="F3" s="611" t="s">
        <v>295</v>
      </c>
      <c r="G3" s="606"/>
      <c r="H3" s="335"/>
      <c r="I3" s="606"/>
      <c r="J3" s="335"/>
      <c r="K3" s="207" t="s">
        <v>834</v>
      </c>
    </row>
    <row r="4" spans="1:21" ht="15" hidden="1" customHeight="1">
      <c r="A4" s="431"/>
      <c r="B4" s="2367"/>
      <c r="C4" s="2368"/>
      <c r="D4" s="609" t="str">
        <f>B3&amp;".2"</f>
        <v>.2</v>
      </c>
      <c r="E4" s="610" t="s">
        <v>835</v>
      </c>
      <c r="F4" s="611" t="s">
        <v>295</v>
      </c>
      <c r="G4" s="1647" t="s">
        <v>24</v>
      </c>
      <c r="H4" s="335"/>
      <c r="I4" s="1647" t="s">
        <v>24</v>
      </c>
      <c r="J4" s="335"/>
      <c r="K4" s="207" t="s">
        <v>836</v>
      </c>
    </row>
    <row r="5" spans="1:21" s="1824" customFormat="1" ht="15" hidden="1" customHeight="1">
      <c r="C5" s="593"/>
      <c r="U5" s="353"/>
    </row>
    <row r="6" spans="1:21" ht="22.5" hidden="1" customHeight="1">
      <c r="A6" s="431"/>
      <c r="B6" s="2367"/>
      <c r="C6" s="2368"/>
      <c r="D6" s="609" t="str">
        <f>B6&amp;".1"</f>
        <v>.1</v>
      </c>
      <c r="E6" s="610" t="s">
        <v>837</v>
      </c>
      <c r="F6" s="611" t="s">
        <v>295</v>
      </c>
      <c r="G6" s="606"/>
      <c r="H6" s="335"/>
      <c r="I6" s="606"/>
      <c r="J6" s="335"/>
      <c r="K6" s="207" t="s">
        <v>838</v>
      </c>
    </row>
    <row r="7" spans="1:21" ht="15" hidden="1" customHeight="1">
      <c r="A7" s="431"/>
      <c r="B7" s="2367"/>
      <c r="C7" s="2368"/>
      <c r="D7" s="609" t="str">
        <f>B6&amp;".2"</f>
        <v>.2</v>
      </c>
      <c r="E7" s="610" t="s">
        <v>835</v>
      </c>
      <c r="F7" s="611" t="s">
        <v>295</v>
      </c>
      <c r="G7" s="1647" t="s">
        <v>24</v>
      </c>
      <c r="H7" s="335"/>
      <c r="I7" s="1647" t="s">
        <v>24</v>
      </c>
      <c r="J7" s="335"/>
      <c r="K7" s="207" t="s">
        <v>836</v>
      </c>
    </row>
    <row r="8" spans="1:21" s="1824" customFormat="1" ht="15" hidden="1" customHeight="1">
      <c r="C8" s="593"/>
      <c r="U8" s="353"/>
    </row>
    <row r="9" spans="1:21" ht="22.5" hidden="1" customHeight="1">
      <c r="A9" s="431"/>
      <c r="B9" s="2367"/>
      <c r="C9" s="2368"/>
      <c r="D9" s="609" t="str">
        <f>B9&amp;".1"</f>
        <v>.1</v>
      </c>
      <c r="E9" s="610" t="s">
        <v>839</v>
      </c>
      <c r="F9" s="611" t="s">
        <v>295</v>
      </c>
      <c r="G9" s="617" t="s">
        <v>24</v>
      </c>
      <c r="H9" s="335" t="s">
        <v>24</v>
      </c>
      <c r="I9" s="617" t="s">
        <v>24</v>
      </c>
      <c r="J9" s="335" t="s">
        <v>24</v>
      </c>
      <c r="K9" s="207"/>
    </row>
    <row r="10" spans="1:21" ht="15" hidden="1" customHeight="1">
      <c r="A10" s="431"/>
      <c r="B10" s="2367"/>
      <c r="C10" s="2368"/>
      <c r="D10" s="609" t="str">
        <f>B9&amp;".2"</f>
        <v>.2</v>
      </c>
      <c r="E10" s="610" t="s">
        <v>840</v>
      </c>
      <c r="F10" s="611" t="s">
        <v>295</v>
      </c>
      <c r="G10" s="1642" t="s">
        <v>24</v>
      </c>
      <c r="H10" s="335" t="s">
        <v>24</v>
      </c>
      <c r="I10" s="1642" t="s">
        <v>24</v>
      </c>
      <c r="J10" s="335" t="s">
        <v>24</v>
      </c>
      <c r="K10" s="207" t="s">
        <v>841</v>
      </c>
    </row>
    <row r="11" spans="1:21" ht="15" hidden="1" customHeight="1">
      <c r="A11" s="431"/>
      <c r="B11" s="2367"/>
      <c r="C11" s="2368"/>
      <c r="D11" s="609" t="str">
        <f>B9&amp;".3"</f>
        <v>.3</v>
      </c>
      <c r="E11" s="610" t="s">
        <v>842</v>
      </c>
      <c r="F11" s="611" t="s">
        <v>295</v>
      </c>
      <c r="G11" s="1642" t="s">
        <v>24</v>
      </c>
      <c r="H11" s="335" t="s">
        <v>24</v>
      </c>
      <c r="I11" s="1642" t="s">
        <v>24</v>
      </c>
      <c r="J11" s="335" t="s">
        <v>24</v>
      </c>
      <c r="K11" s="207" t="s">
        <v>843</v>
      </c>
    </row>
    <row r="12" spans="1:21" s="1824" customFormat="1" ht="15" hidden="1" customHeight="1">
      <c r="C12" s="593"/>
      <c r="U12" s="353"/>
    </row>
    <row r="13" spans="1:21" ht="33.75" hidden="1" customHeight="1">
      <c r="A13" s="431"/>
      <c r="B13" s="2367"/>
      <c r="C13" s="2368"/>
      <c r="D13" s="609" t="str">
        <f>B13&amp;".1"</f>
        <v>.1</v>
      </c>
      <c r="E13" s="610" t="s">
        <v>844</v>
      </c>
      <c r="F13" s="611" t="s">
        <v>295</v>
      </c>
      <c r="G13" s="617" t="s">
        <v>24</v>
      </c>
      <c r="H13" s="335" t="s">
        <v>24</v>
      </c>
      <c r="I13" s="617" t="s">
        <v>24</v>
      </c>
      <c r="J13" s="335" t="s">
        <v>24</v>
      </c>
      <c r="K13" s="207" t="s">
        <v>845</v>
      </c>
    </row>
    <row r="14" spans="1:21" ht="15" hidden="1" customHeight="1">
      <c r="B14" s="2367"/>
      <c r="C14" s="2368"/>
      <c r="D14" s="609" t="str">
        <f>B13&amp;".2"</f>
        <v>.2</v>
      </c>
      <c r="E14" s="610" t="s">
        <v>846</v>
      </c>
      <c r="F14" s="611" t="s">
        <v>295</v>
      </c>
      <c r="G14" s="1642" t="s">
        <v>24</v>
      </c>
      <c r="H14" s="335" t="s">
        <v>24</v>
      </c>
      <c r="I14" s="1642" t="s">
        <v>24</v>
      </c>
      <c r="J14" s="335" t="s">
        <v>24</v>
      </c>
      <c r="K14" s="207" t="s">
        <v>847</v>
      </c>
    </row>
    <row r="15" spans="1:21" s="1824" customFormat="1" ht="15" hidden="1" customHeight="1">
      <c r="C15" s="593"/>
      <c r="U15" s="353"/>
    </row>
    <row r="16" spans="1:21" s="1824" customFormat="1" ht="15" hidden="1" customHeight="1">
      <c r="C16" s="593"/>
      <c r="U16" s="353"/>
    </row>
    <row r="17" spans="1:21" s="1824" customFormat="1" ht="15" hidden="1" customHeight="1">
      <c r="C17" s="593"/>
      <c r="U17" s="353"/>
    </row>
    <row r="18" spans="1:21" s="1824" customFormat="1" ht="15" hidden="1" customHeight="1">
      <c r="C18" s="593"/>
      <c r="U18" s="353"/>
    </row>
    <row r="19" spans="1:21" s="1824" customFormat="1" ht="15" hidden="1" customHeight="1">
      <c r="C19" s="593"/>
      <c r="U19" s="353"/>
    </row>
    <row r="20" spans="1:21" s="1824" customFormat="1" ht="15" hidden="1" customHeight="1">
      <c r="C20" s="593"/>
      <c r="U20" s="353"/>
    </row>
    <row r="21" spans="1:21" ht="15" customHeight="1">
      <c r="C21" s="97"/>
      <c r="D21" s="435"/>
      <c r="E21" s="435"/>
      <c r="F21" s="435"/>
      <c r="G21" s="435"/>
      <c r="H21" s="435"/>
      <c r="I21" s="435"/>
      <c r="J21" s="435"/>
    </row>
    <row r="22" spans="1:21" ht="22.5" customHeight="1">
      <c r="C22" s="97"/>
      <c r="D22" s="225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54"/>
      <c r="F22" s="2254"/>
      <c r="G22" s="2254"/>
      <c r="H22" s="2254"/>
      <c r="I22" s="2254"/>
      <c r="J22" s="597"/>
      <c r="K22" s="462"/>
    </row>
    <row r="23" spans="1:21" ht="15" customHeight="1">
      <c r="C23" s="97"/>
      <c r="D23" s="2200" t="str">
        <f>IF(org=0,"Не определено",org)</f>
        <v>ПАО "Юнипро"</v>
      </c>
      <c r="E23" s="2200"/>
      <c r="F23" s="2200"/>
      <c r="G23" s="2200"/>
      <c r="H23" s="2200"/>
      <c r="I23" s="2200"/>
      <c r="J23" s="597"/>
      <c r="K23" s="462"/>
    </row>
    <row r="24" spans="1:21" ht="15" customHeight="1">
      <c r="C24" s="97"/>
      <c r="D24" s="435"/>
      <c r="E24" s="435"/>
      <c r="F24" s="435"/>
      <c r="G24" s="462">
        <v>22</v>
      </c>
      <c r="H24" s="669"/>
      <c r="I24" s="462">
        <v>22</v>
      </c>
      <c r="J24" s="669"/>
    </row>
    <row r="25" spans="1:21" s="1823" customFormat="1" ht="0.75" customHeight="1">
      <c r="A25" s="676"/>
      <c r="C25" s="97"/>
      <c r="D25" s="435"/>
      <c r="E25" s="435"/>
      <c r="F25" s="435"/>
      <c r="G25" s="462"/>
      <c r="H25" s="669"/>
      <c r="I25" s="462" t="s">
        <v>116</v>
      </c>
      <c r="J25" s="669"/>
      <c r="K25" s="351"/>
      <c r="U25" s="596"/>
    </row>
    <row r="26" spans="1:21" ht="15" customHeight="1">
      <c r="C26" s="97"/>
      <c r="D26" s="630"/>
      <c r="E26" s="2344" t="s">
        <v>104</v>
      </c>
      <c r="F26" s="2345"/>
      <c r="G26" s="2365" t="str">
        <f>IF(G25="","",INDEX(DIFFERENTIATION_UNMERGE_VD,MATCH(G25,DIFFERENTIATION_ID_DIFF,0)))</f>
        <v/>
      </c>
      <c r="H26" s="2366"/>
      <c r="I26" s="2365">
        <f>IF(I25="","",INDEX(DIFFERENTIATION_UNMERGE_VD,MATCH(I25,DIFFERENTIATION_ID_DIFF,0)))</f>
        <v>0</v>
      </c>
      <c r="J26" s="2366"/>
      <c r="K26" s="2199" t="s">
        <v>290</v>
      </c>
    </row>
    <row r="27" spans="1:21" s="1823" customFormat="1" ht="15" customHeight="1">
      <c r="A27" s="676"/>
      <c r="C27" s="97"/>
      <c r="D27" s="630"/>
      <c r="E27" s="2344" t="s">
        <v>548</v>
      </c>
      <c r="F27" s="2345"/>
      <c r="G27" s="2365" t="str">
        <f>IF(G25="","",INDEX(DIFFERENTIATION_UNMERGE_AREA,MATCH(G25,DIFFERENTIATION_ID_DIFF,0)))</f>
        <v/>
      </c>
      <c r="H27" s="2366"/>
      <c r="I27" s="2365" t="str">
        <f>IF(I25="","",INDEX(DIFFERENTIATION_UNMERGE_AREA,MATCH(I25,DIFFERENTIATION_ID_DIFF,0)))</f>
        <v/>
      </c>
      <c r="J27" s="2366"/>
      <c r="K27" s="2217"/>
      <c r="U27" s="596"/>
    </row>
    <row r="28" spans="1:21" s="1823" customFormat="1" ht="15" customHeight="1">
      <c r="A28" s="676"/>
      <c r="C28" s="97"/>
      <c r="D28" s="630"/>
      <c r="E28" s="2344" t="s">
        <v>549</v>
      </c>
      <c r="F28" s="2345"/>
      <c r="G28" s="2365" t="str">
        <f>IF(G25="","",INDEX(DIFFERENTIATION_UNMERGE_SYSTEM,MATCH(G25,DIFFERENTIATION_ID_DIFF,0)))</f>
        <v/>
      </c>
      <c r="H28" s="2366"/>
      <c r="I28" s="2365" t="str">
        <f>IF(I25="","",INDEX(DIFFERENTIATION_UNMERGE_SYSTEM,MATCH(I25,DIFFERENTIATION_ID_DIFF,0)))</f>
        <v>без дифференциации</v>
      </c>
      <c r="J28" s="2366"/>
      <c r="K28" s="2217"/>
      <c r="U28" s="596"/>
    </row>
    <row r="29" spans="1:21" s="1823" customFormat="1" ht="15" customHeight="1">
      <c r="A29" s="676"/>
      <c r="C29" s="97"/>
      <c r="D29" s="2346" t="s">
        <v>289</v>
      </c>
      <c r="E29" s="2347"/>
      <c r="F29" s="2347"/>
      <c r="G29" s="800"/>
      <c r="H29" s="800"/>
      <c r="I29" s="800"/>
      <c r="J29" s="801"/>
      <c r="K29" s="2217"/>
      <c r="U29" s="596"/>
    </row>
    <row r="30" spans="1:21" ht="33.75" customHeight="1">
      <c r="C30" s="97"/>
      <c r="D30" s="678" t="s">
        <v>87</v>
      </c>
      <c r="E30" s="677" t="s">
        <v>291</v>
      </c>
      <c r="F30" s="677" t="s">
        <v>550</v>
      </c>
      <c r="G30" s="725" t="s">
        <v>292</v>
      </c>
      <c r="H30" s="724" t="s">
        <v>381</v>
      </c>
      <c r="I30" s="604" t="s">
        <v>292</v>
      </c>
      <c r="J30" s="392" t="s">
        <v>381</v>
      </c>
      <c r="K30" s="2220"/>
    </row>
    <row r="31" spans="1:21" ht="15" hidden="1" customHeight="1">
      <c r="C31" s="97"/>
      <c r="D31" s="516"/>
      <c r="E31" s="516"/>
      <c r="F31" s="516"/>
      <c r="G31" s="580"/>
      <c r="H31" s="580"/>
      <c r="I31" s="580"/>
      <c r="J31" s="580"/>
      <c r="K31" s="207"/>
    </row>
    <row r="32" spans="1:21" ht="22.5" customHeight="1">
      <c r="A32" s="431"/>
      <c r="B32" s="431" t="s">
        <v>848</v>
      </c>
      <c r="C32" s="452"/>
      <c r="D32" s="612">
        <v>1</v>
      </c>
      <c r="E32" s="613" t="s">
        <v>849</v>
      </c>
      <c r="F32" s="611" t="s">
        <v>295</v>
      </c>
      <c r="G32" s="730" t="s">
        <v>295</v>
      </c>
      <c r="H32" s="730" t="s">
        <v>295</v>
      </c>
      <c r="I32" s="611" t="s">
        <v>295</v>
      </c>
      <c r="J32" s="611" t="s">
        <v>295</v>
      </c>
      <c r="K32" s="207"/>
    </row>
    <row r="33" spans="1:21" ht="11.25" customHeight="1">
      <c r="A33" s="431"/>
      <c r="C33" s="431"/>
      <c r="D33" s="272"/>
      <c r="E33" s="505" t="s">
        <v>570</v>
      </c>
      <c r="F33" s="497"/>
      <c r="G33" s="497"/>
      <c r="H33" s="497"/>
      <c r="I33" s="497"/>
      <c r="J33" s="497"/>
      <c r="K33" s="498"/>
      <c r="U33" s="431"/>
    </row>
    <row r="34" spans="1:21" ht="22.5" customHeight="1">
      <c r="A34" s="431"/>
      <c r="B34" s="506" t="s">
        <v>850</v>
      </c>
      <c r="C34" s="452"/>
      <c r="D34" s="612">
        <v>2</v>
      </c>
      <c r="E34" s="613" t="s">
        <v>851</v>
      </c>
      <c r="F34" s="737" t="s">
        <v>295</v>
      </c>
      <c r="G34" s="737" t="s">
        <v>295</v>
      </c>
      <c r="H34" s="737" t="s">
        <v>295</v>
      </c>
      <c r="I34" s="611"/>
      <c r="J34" s="611"/>
      <c r="K34" s="207"/>
    </row>
    <row r="35" spans="1:21" ht="11.25" customHeight="1">
      <c r="A35" s="431"/>
      <c r="C35" s="431"/>
      <c r="D35" s="272"/>
      <c r="E35" s="505" t="s">
        <v>852</v>
      </c>
      <c r="F35" s="497"/>
      <c r="G35" s="614"/>
      <c r="H35" s="497"/>
      <c r="I35" s="614"/>
      <c r="J35" s="497"/>
      <c r="K35" s="498"/>
      <c r="U35" s="431"/>
    </row>
    <row r="36" spans="1:21" ht="67.5" customHeight="1">
      <c r="A36" s="431"/>
      <c r="B36" s="431" t="s">
        <v>853</v>
      </c>
      <c r="C36" s="452"/>
      <c r="D36" s="612">
        <v>3</v>
      </c>
      <c r="E36" s="613" t="s">
        <v>854</v>
      </c>
      <c r="F36" s="615" t="s">
        <v>295</v>
      </c>
      <c r="G36" s="731" t="s">
        <v>855</v>
      </c>
      <c r="H36" s="730" t="s">
        <v>295</v>
      </c>
      <c r="I36" s="450" t="s">
        <v>855</v>
      </c>
      <c r="J36" s="611" t="s">
        <v>295</v>
      </c>
      <c r="K36" s="207" t="s">
        <v>856</v>
      </c>
    </row>
    <row r="37" spans="1:21" ht="11.25" customHeight="1">
      <c r="A37" s="431"/>
      <c r="C37" s="431"/>
      <c r="D37" s="272"/>
      <c r="E37" s="505" t="s">
        <v>857</v>
      </c>
      <c r="F37" s="497"/>
      <c r="G37" s="614"/>
      <c r="H37" s="614"/>
      <c r="I37" s="614"/>
      <c r="J37" s="614"/>
      <c r="K37" s="498"/>
      <c r="U37" s="431"/>
    </row>
    <row r="38" spans="1:21" ht="67.5" customHeight="1">
      <c r="A38" s="431"/>
      <c r="B38" s="431" t="s">
        <v>858</v>
      </c>
      <c r="C38" s="452"/>
      <c r="D38" s="612">
        <v>4</v>
      </c>
      <c r="E38" s="613" t="s">
        <v>859</v>
      </c>
      <c r="F38" s="615" t="s">
        <v>295</v>
      </c>
      <c r="G38" s="731" t="s">
        <v>855</v>
      </c>
      <c r="H38" s="732" t="s">
        <v>295</v>
      </c>
      <c r="I38" s="450" t="s">
        <v>855</v>
      </c>
      <c r="J38" s="447" t="s">
        <v>295</v>
      </c>
      <c r="K38" s="600" t="s">
        <v>860</v>
      </c>
    </row>
    <row r="39" spans="1:21" ht="11.25" customHeight="1">
      <c r="A39" s="431"/>
      <c r="C39" s="431"/>
      <c r="D39" s="272"/>
      <c r="E39" s="505" t="s">
        <v>861</v>
      </c>
      <c r="F39" s="497"/>
      <c r="G39" s="497"/>
      <c r="H39" s="616"/>
      <c r="I39" s="497"/>
      <c r="J39" s="616"/>
      <c r="K39" s="498"/>
      <c r="U39" s="431"/>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200-000000000000}"/>
    <dataValidation type="textLength" operator="lessThanOrEqual" allowBlank="1" showInputMessage="1" showErrorMessage="1" errorTitle="Ошибка" error="Допускается ввод не более 900 символов!" sqref="I3 I6 I9 I13 G6 G13 G9 G3" xr:uid="{00000000-0002-0000-22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2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xr:uid="{00000000-0002-0000-22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2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4ECC-32B2-8F6F-C23A-D896F7E0CF49}">
  <sheetPr>
    <tabColor theme="9" tint="-0.249977111117893"/>
  </sheetPr>
  <dimension ref="A1:AD15"/>
  <sheetViews>
    <sheetView showGridLines="0" topLeftCell="E4" zoomScale="85" workbookViewId="0"/>
  </sheetViews>
  <sheetFormatPr defaultColWidth="9.140625" defaultRowHeight="10.5" customHeight="1"/>
  <cols>
    <col min="1" max="3" width="6.7109375" style="2025" hidden="1" customWidth="1"/>
    <col min="4" max="4" width="6.7109375" style="1824" hidden="1" customWidth="1"/>
    <col min="5" max="5" width="3.7109375" style="1825" customWidth="1"/>
    <col min="6" max="6" width="6.28515625" style="1823" customWidth="1"/>
    <col min="7" max="7" width="37.7109375" style="1823" customWidth="1"/>
    <col min="8" max="8" width="16.5703125" style="1905" customWidth="1"/>
    <col min="9" max="10" width="19.7109375" style="1823" customWidth="1"/>
    <col min="11" max="11" width="25" style="1823" customWidth="1"/>
    <col min="12" max="13" width="25.7109375" style="1823" customWidth="1"/>
    <col min="14" max="16" width="17.7109375" style="1823" customWidth="1"/>
    <col min="17" max="24" width="19.7109375" style="1823" customWidth="1"/>
    <col min="25" max="25" width="8" style="1823" customWidth="1"/>
    <col min="26" max="26" width="3.28515625" style="1823" customWidth="1"/>
    <col min="27" max="27" width="6.28515625" style="1823" customWidth="1"/>
    <col min="28" max="28" width="34.140625" style="1823" customWidth="1"/>
    <col min="29" max="30" width="9.140625" style="1823"/>
  </cols>
  <sheetData>
    <row r="1" spans="1:30" s="1824" customFormat="1" ht="10.5" hidden="1" customHeight="1">
      <c r="A1" s="808"/>
      <c r="B1" s="808"/>
      <c r="C1" s="808"/>
      <c r="E1" s="462"/>
      <c r="H1" s="1060"/>
    </row>
    <row r="2" spans="1:30" ht="10.5" hidden="1" customHeight="1"/>
    <row r="3" spans="1:30" s="1916" customFormat="1" ht="10.5" hidden="1" customHeight="1">
      <c r="A3" s="808"/>
      <c r="B3" s="808"/>
      <c r="C3" s="808"/>
      <c r="D3" s="351"/>
      <c r="E3" s="289"/>
      <c r="H3" s="1056"/>
    </row>
    <row r="4" spans="1:30" ht="3" customHeight="1"/>
    <row r="5" spans="1:30" ht="25.5" customHeight="1">
      <c r="F5" s="2254" t="str">
        <f>IP_NAME_FORM</f>
        <v>Форма 7. Информация об инвестиционных программах организации холодного водоснабжения и отчетах об их исполнении</v>
      </c>
      <c r="G5" s="2254"/>
      <c r="H5" s="2254"/>
      <c r="I5" s="2254"/>
      <c r="J5" s="2254"/>
      <c r="K5" s="2254"/>
      <c r="M5" s="507"/>
      <c r="AB5" s="819"/>
    </row>
    <row r="6" spans="1:30" s="1908" customFormat="1" ht="15.75" customHeight="1">
      <c r="A6" s="1066"/>
      <c r="B6" s="1066"/>
      <c r="C6" s="1066"/>
      <c r="D6" s="1060"/>
      <c r="E6" s="1547"/>
      <c r="F6" s="2200" t="str">
        <f>IF(org=0,"Не определено",org)</f>
        <v>ПАО "Юнипро"</v>
      </c>
      <c r="G6" s="2200"/>
      <c r="H6" s="2200"/>
      <c r="I6" s="2200"/>
      <c r="J6" s="2200"/>
      <c r="K6" s="2200"/>
      <c r="M6" s="507"/>
      <c r="AB6" s="1048"/>
    </row>
    <row r="8" spans="1:30" ht="10.5" customHeight="1">
      <c r="A8" s="958"/>
      <c r="B8" s="958"/>
      <c r="C8" s="958"/>
      <c r="F8" s="2115" t="s">
        <v>289</v>
      </c>
      <c r="G8" s="2120"/>
      <c r="H8" s="2120"/>
      <c r="I8" s="2120"/>
      <c r="J8" s="2120"/>
      <c r="K8" s="2120"/>
      <c r="L8" s="2120"/>
      <c r="M8" s="2120"/>
      <c r="N8" s="2120"/>
      <c r="O8" s="2120"/>
      <c r="P8" s="2120"/>
      <c r="Q8" s="2120"/>
      <c r="R8" s="2120"/>
      <c r="S8" s="2120"/>
      <c r="T8" s="2120"/>
      <c r="U8" s="2120"/>
      <c r="V8" s="2120"/>
      <c r="W8" s="2120"/>
      <c r="X8" s="2120"/>
      <c r="Y8" s="2120"/>
      <c r="Z8" s="2120"/>
      <c r="AA8" s="2120"/>
      <c r="AB8" s="2114"/>
    </row>
    <row r="9" spans="1:30" ht="41.25" customHeight="1">
      <c r="A9" s="818"/>
      <c r="B9" s="818"/>
      <c r="C9" s="818"/>
      <c r="F9" s="2143" t="s">
        <v>87</v>
      </c>
      <c r="G9" s="2143" t="s">
        <v>862</v>
      </c>
      <c r="H9" s="2199" t="s">
        <v>863</v>
      </c>
      <c r="I9" s="2143" t="s">
        <v>864</v>
      </c>
      <c r="J9" s="2143" t="s">
        <v>865</v>
      </c>
      <c r="K9" s="2143" t="s">
        <v>866</v>
      </c>
      <c r="L9" s="2143" t="s">
        <v>867</v>
      </c>
      <c r="M9" s="2143" t="s">
        <v>868</v>
      </c>
      <c r="N9" s="2229" t="s">
        <v>869</v>
      </c>
      <c r="O9" s="2229"/>
      <c r="P9" s="2229"/>
      <c r="Q9" s="2279" t="s">
        <v>870</v>
      </c>
      <c r="R9" s="2280"/>
      <c r="S9" s="2280"/>
      <c r="T9" s="2281"/>
      <c r="U9" s="2279" t="s">
        <v>871</v>
      </c>
      <c r="V9" s="2280"/>
      <c r="W9" s="2280"/>
      <c r="X9" s="2281"/>
      <c r="Y9" s="2115" t="s">
        <v>872</v>
      </c>
      <c r="Z9" s="2120"/>
      <c r="AA9" s="2120"/>
      <c r="AB9" s="2114"/>
    </row>
    <row r="10" spans="1:30" ht="41.25" customHeight="1">
      <c r="A10" s="818"/>
      <c r="B10" s="818"/>
      <c r="C10" s="818"/>
      <c r="F10" s="2199"/>
      <c r="G10" s="2199"/>
      <c r="H10" s="2249"/>
      <c r="I10" s="2199"/>
      <c r="J10" s="2199"/>
      <c r="K10" s="2199"/>
      <c r="L10" s="2199"/>
      <c r="M10" s="2199"/>
      <c r="N10" s="816" t="s">
        <v>873</v>
      </c>
      <c r="O10" s="816" t="s">
        <v>874</v>
      </c>
      <c r="P10" s="817" t="s">
        <v>875</v>
      </c>
      <c r="Q10" s="828" t="s">
        <v>88</v>
      </c>
      <c r="R10" s="828" t="s">
        <v>876</v>
      </c>
      <c r="S10" s="828" t="s">
        <v>877</v>
      </c>
      <c r="T10" s="829" t="s">
        <v>878</v>
      </c>
      <c r="U10" s="828" t="s">
        <v>88</v>
      </c>
      <c r="V10" s="828" t="s">
        <v>879</v>
      </c>
      <c r="W10" s="828" t="s">
        <v>877</v>
      </c>
      <c r="X10" s="829" t="s">
        <v>878</v>
      </c>
      <c r="Y10" s="219" t="s">
        <v>880</v>
      </c>
      <c r="Z10" s="2115" t="s">
        <v>87</v>
      </c>
      <c r="AA10" s="2114"/>
      <c r="AB10" s="956" t="s">
        <v>881</v>
      </c>
    </row>
    <row r="11" spans="1:30" s="1820" customFormat="1" ht="5.25" hidden="1" customHeight="1">
      <c r="A11" s="959"/>
      <c r="B11" s="959"/>
      <c r="C11" s="959"/>
      <c r="E11" s="957"/>
      <c r="F11" s="2191" t="s">
        <v>367</v>
      </c>
      <c r="G11" s="2370"/>
      <c r="H11" s="2369"/>
      <c r="I11" s="2369"/>
      <c r="J11" s="2369"/>
      <c r="K11" s="2371"/>
      <c r="L11" s="2371"/>
      <c r="M11" s="2371"/>
      <c r="N11" s="2369"/>
      <c r="O11" s="2369"/>
      <c r="P11" s="2143"/>
      <c r="Q11" s="2203"/>
      <c r="R11" s="2203"/>
      <c r="S11" s="2203"/>
      <c r="T11" s="2369"/>
      <c r="U11" s="2203"/>
      <c r="V11" s="2203"/>
      <c r="W11" s="2203"/>
      <c r="X11" s="2369"/>
      <c r="Y11" s="2125"/>
      <c r="Z11" s="2125"/>
      <c r="AA11" s="2125"/>
      <c r="AB11" s="2125"/>
      <c r="AD11" s="437" t="s">
        <v>882</v>
      </c>
    </row>
    <row r="12" spans="1:30" s="1820" customFormat="1" ht="5.25" hidden="1" customHeight="1">
      <c r="A12" s="809"/>
      <c r="B12" s="809"/>
      <c r="C12" s="809"/>
      <c r="E12" s="444"/>
      <c r="F12" s="2191"/>
      <c r="G12" s="2370"/>
      <c r="H12" s="2369"/>
      <c r="I12" s="2369"/>
      <c r="J12" s="2369"/>
      <c r="K12" s="2371"/>
      <c r="L12" s="2371"/>
      <c r="M12" s="2371"/>
      <c r="N12" s="2369"/>
      <c r="O12" s="2369"/>
      <c r="P12" s="2143"/>
      <c r="Q12" s="2203"/>
      <c r="R12" s="2203"/>
      <c r="S12" s="2203"/>
      <c r="T12" s="2369"/>
      <c r="U12" s="2203"/>
      <c r="V12" s="2203"/>
      <c r="W12" s="2203"/>
      <c r="X12" s="2369"/>
      <c r="Y12" s="2372"/>
      <c r="Z12" s="2372"/>
      <c r="AA12" s="2372"/>
      <c r="AB12" s="2372"/>
    </row>
    <row r="13" spans="1:30" ht="10.5" customHeight="1">
      <c r="F13" s="815"/>
      <c r="G13" s="571" t="s">
        <v>883</v>
      </c>
      <c r="H13" s="1068"/>
      <c r="I13" s="497"/>
      <c r="J13" s="497"/>
      <c r="K13" s="497"/>
      <c r="L13" s="497"/>
      <c r="M13" s="497"/>
      <c r="N13" s="497"/>
      <c r="O13" s="497"/>
      <c r="P13" s="497"/>
      <c r="Q13" s="497"/>
      <c r="R13" s="497"/>
      <c r="S13" s="497"/>
      <c r="T13" s="497"/>
      <c r="U13" s="497"/>
      <c r="V13" s="497"/>
      <c r="W13" s="497"/>
      <c r="X13" s="497"/>
      <c r="Y13" s="497"/>
      <c r="Z13" s="616"/>
      <c r="AA13" s="616"/>
      <c r="AB13" s="830"/>
    </row>
    <row r="15" spans="1:30" s="1820" customFormat="1" ht="10.5" customHeight="1">
      <c r="A15" s="1067"/>
      <c r="B15" s="1067"/>
      <c r="C15" s="1067"/>
      <c r="E15" s="444"/>
      <c r="H15" s="437">
        <f>IFERROR(MATCH("нет",IP_MAIN_DIFFERENTIATION_EVENTS_FLAG,0),0)</f>
        <v>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69512-947A-31B9-B37A-A7FE3E81D2EC}">
  <sheetPr>
    <tabColor theme="9" tint="-0.249977111117893"/>
  </sheetPr>
  <dimension ref="A1:BF19"/>
  <sheetViews>
    <sheetView showGridLines="0" topLeftCell="E4" zoomScale="90" workbookViewId="0"/>
  </sheetViews>
  <sheetFormatPr defaultColWidth="9.140625" defaultRowHeight="10.5" customHeight="1"/>
  <cols>
    <col min="1" max="3" width="4.140625" style="2025" hidden="1" customWidth="1"/>
    <col min="4" max="4" width="4.140625" style="1824" hidden="1" customWidth="1"/>
    <col min="5" max="5" width="3.7109375" style="1825" customWidth="1"/>
    <col min="6" max="6" width="14.42578125" style="1823" customWidth="1"/>
    <col min="7" max="7" width="3.7109375" style="1823" customWidth="1"/>
    <col min="8" max="8" width="7.7109375" style="1905" customWidth="1"/>
    <col min="9" max="10" width="16.7109375" style="1823" customWidth="1"/>
    <col min="11" max="11" width="25.7109375" style="1823" customWidth="1"/>
    <col min="12" max="12" width="8" style="2027" customWidth="1"/>
    <col min="13" max="13" width="15.5703125" style="2027" customWidth="1"/>
    <col min="14" max="14" width="3.28515625" style="1823" customWidth="1"/>
    <col min="15" max="15" width="4.7109375" style="1823" customWidth="1"/>
    <col min="16" max="16" width="9" style="1823" customWidth="1"/>
    <col min="17" max="17" width="21.7109375" style="1823" customWidth="1"/>
    <col min="18" max="18" width="14.7109375" style="1823" customWidth="1"/>
    <col min="19" max="20" width="17.7109375" style="1823" customWidth="1"/>
    <col min="21" max="21" width="9.7109375" style="1823" customWidth="1"/>
    <col min="22" max="22" width="12.7109375" style="1823" customWidth="1"/>
    <col min="23" max="23" width="9.7109375" style="1823" customWidth="1"/>
    <col min="24" max="24" width="21.7109375" style="1823" customWidth="1"/>
    <col min="25" max="25" width="12.7109375" style="1823" customWidth="1"/>
    <col min="26" max="26" width="3.28515625" style="1823" customWidth="1"/>
    <col min="27" max="27" width="7.140625" style="1823" customWidth="1"/>
    <col min="28" max="28" width="38.42578125" style="1823" customWidth="1"/>
    <col min="29" max="29" width="15.7109375" style="1823" customWidth="1"/>
    <col min="30" max="30" width="37.5703125" style="2027" customWidth="1"/>
    <col min="31" max="31" width="15.7109375" style="1823" customWidth="1"/>
    <col min="32" max="33" width="16.7109375" style="1823" customWidth="1"/>
    <col min="34" max="34" width="16.7109375" style="2028" customWidth="1"/>
    <col min="35" max="35" width="16.7109375" style="2029" customWidth="1"/>
    <col min="36" max="37" width="16.7109375" style="1823" customWidth="1"/>
    <col min="38" max="58" width="9.140625" style="1823"/>
  </cols>
  <sheetData>
    <row r="1" spans="1:58" s="1824" customFormat="1" ht="10.5" hidden="1" customHeight="1">
      <c r="A1" s="808"/>
      <c r="B1" s="808"/>
      <c r="C1" s="808"/>
      <c r="E1" s="462"/>
      <c r="H1" s="1060"/>
      <c r="L1" s="1030"/>
      <c r="M1" s="1030"/>
      <c r="AD1" s="1030"/>
      <c r="AH1" s="1047"/>
      <c r="AI1" s="1041"/>
    </row>
    <row r="2" spans="1:58" ht="10.5" hidden="1" customHeight="1"/>
    <row r="3" spans="1:58" s="1916" customFormat="1" ht="10.5" hidden="1" customHeight="1">
      <c r="A3" s="808"/>
      <c r="B3" s="808"/>
      <c r="C3" s="808"/>
      <c r="D3" s="351"/>
      <c r="E3" s="289"/>
      <c r="H3" s="1056"/>
      <c r="L3" s="1028"/>
      <c r="M3" s="1028"/>
      <c r="AD3" s="1028"/>
      <c r="AH3" s="1045"/>
      <c r="AI3" s="1039"/>
    </row>
    <row r="4" spans="1:58" ht="3" customHeight="1"/>
    <row r="5" spans="1:58" ht="25.5" customHeight="1">
      <c r="F5" s="2254" t="str">
        <f>IP_NAME_FORM</f>
        <v>Форма 7. Информация об инвестиционных программах организации холодного водоснабжения и отчетах об их исполнении</v>
      </c>
      <c r="G5" s="2254"/>
      <c r="H5" s="2254"/>
      <c r="I5" s="2254"/>
      <c r="J5" s="2254"/>
      <c r="K5" s="2254"/>
      <c r="L5" s="1037"/>
      <c r="M5" s="1037"/>
      <c r="AG5" s="819"/>
      <c r="AH5" s="1048"/>
    </row>
    <row r="6" spans="1:58" ht="10.5" customHeight="1">
      <c r="F6" s="2200" t="str">
        <f>IF(org=0,"Не определено",org)</f>
        <v>ПАО "Юнипро"</v>
      </c>
      <c r="G6" s="2200"/>
      <c r="H6" s="2200"/>
      <c r="I6" s="2200"/>
      <c r="J6" s="2200"/>
      <c r="K6" s="2200"/>
      <c r="L6" s="1038"/>
      <c r="M6" s="1038"/>
    </row>
    <row r="7" spans="1:58" ht="11.25" customHeight="1">
      <c r="E7" s="821"/>
      <c r="F7" s="832"/>
      <c r="G7" s="832"/>
      <c r="H7" s="1086"/>
      <c r="I7" s="832"/>
      <c r="J7" s="832"/>
      <c r="K7" s="834"/>
      <c r="L7" s="1035"/>
      <c r="M7" s="1035"/>
      <c r="N7" s="832"/>
      <c r="O7" s="832"/>
      <c r="P7" s="832"/>
      <c r="Q7" s="834"/>
      <c r="R7" s="832"/>
      <c r="S7" s="832"/>
      <c r="T7" s="832"/>
      <c r="U7" s="832"/>
      <c r="V7" s="832"/>
      <c r="W7" s="832"/>
      <c r="X7" s="832"/>
      <c r="Y7" s="832"/>
      <c r="Z7" s="832"/>
      <c r="AA7" s="832"/>
      <c r="AB7" s="832"/>
      <c r="AC7" s="833"/>
      <c r="AD7" s="1034"/>
      <c r="AE7" s="833"/>
      <c r="AF7" s="832"/>
      <c r="AG7" s="832"/>
      <c r="AH7" s="1050"/>
      <c r="AI7" s="1044"/>
      <c r="AJ7" s="832"/>
      <c r="AK7" s="832"/>
      <c r="AL7" s="823"/>
      <c r="AM7" s="823"/>
      <c r="AN7" s="823"/>
      <c r="AO7" s="820"/>
      <c r="AP7" s="820"/>
      <c r="AQ7" s="820"/>
      <c r="AR7" s="820"/>
      <c r="AS7" s="820"/>
      <c r="AT7" s="820"/>
      <c r="AU7" s="820"/>
      <c r="AV7" s="820"/>
      <c r="AW7" s="820"/>
      <c r="AX7" s="820"/>
      <c r="AY7" s="820"/>
      <c r="AZ7" s="820"/>
      <c r="BA7" s="820"/>
      <c r="BB7" s="820"/>
      <c r="BC7" s="820"/>
      <c r="BD7" s="820"/>
      <c r="BE7" s="820"/>
      <c r="BF7" s="820"/>
    </row>
    <row r="8" spans="1:58" ht="10.5" customHeight="1">
      <c r="E8" s="821"/>
      <c r="F8" s="2376" t="s">
        <v>289</v>
      </c>
      <c r="G8" s="2377"/>
      <c r="H8" s="2377"/>
      <c r="I8" s="2377"/>
      <c r="J8" s="2377"/>
      <c r="K8" s="2377"/>
      <c r="L8" s="2377"/>
      <c r="M8" s="2377"/>
      <c r="N8" s="2377"/>
      <c r="O8" s="2377"/>
      <c r="P8" s="2377"/>
      <c r="Q8" s="2377"/>
      <c r="R8" s="2377"/>
      <c r="S8" s="2377"/>
      <c r="T8" s="2377"/>
      <c r="U8" s="2377"/>
      <c r="V8" s="2377"/>
      <c r="W8" s="2377"/>
      <c r="X8" s="2377"/>
      <c r="Y8" s="2377"/>
      <c r="Z8" s="2377"/>
      <c r="AA8" s="2377"/>
      <c r="AB8" s="2377"/>
      <c r="AC8" s="2377"/>
      <c r="AD8" s="2377"/>
      <c r="AE8" s="2377"/>
      <c r="AF8" s="2377"/>
      <c r="AG8" s="2377"/>
      <c r="AH8" s="2377"/>
      <c r="AI8" s="2377"/>
      <c r="AJ8" s="2377"/>
      <c r="AK8" s="2378"/>
      <c r="AL8" s="822"/>
      <c r="AM8" s="820"/>
      <c r="AN8" s="820"/>
      <c r="AO8" s="820"/>
      <c r="AP8" s="820"/>
      <c r="AQ8" s="820"/>
      <c r="AR8" s="820"/>
      <c r="AS8" s="820"/>
      <c r="AT8" s="820"/>
      <c r="AU8" s="820"/>
      <c r="AV8" s="820"/>
      <c r="AW8" s="820"/>
      <c r="AX8" s="820"/>
      <c r="AY8" s="820"/>
      <c r="AZ8" s="820"/>
      <c r="BA8" s="820"/>
      <c r="BB8" s="820"/>
      <c r="BC8" s="820"/>
      <c r="BD8" s="820"/>
      <c r="BE8" s="820"/>
      <c r="BF8" s="820"/>
    </row>
    <row r="9" spans="1:58" ht="23.25" customHeight="1">
      <c r="A9" s="818"/>
      <c r="B9" s="818"/>
      <c r="C9" s="818"/>
      <c r="E9" s="821"/>
      <c r="F9" s="2229" t="s">
        <v>884</v>
      </c>
      <c r="G9" s="2316" t="s">
        <v>885</v>
      </c>
      <c r="H9" s="2374"/>
      <c r="I9" s="2143" t="s">
        <v>886</v>
      </c>
      <c r="J9" s="2143"/>
      <c r="K9" s="2143" t="s">
        <v>887</v>
      </c>
      <c r="L9" s="2143"/>
      <c r="M9" s="2143"/>
      <c r="N9" s="2143"/>
      <c r="O9" s="2143"/>
      <c r="P9" s="2143"/>
      <c r="Q9" s="2143"/>
      <c r="R9" s="2143"/>
      <c r="S9" s="2143"/>
      <c r="T9" s="2143"/>
      <c r="U9" s="2143"/>
      <c r="V9" s="2143"/>
      <c r="W9" s="2143"/>
      <c r="X9" s="2143"/>
      <c r="Y9" s="2143"/>
      <c r="Z9" s="2214" t="s">
        <v>888</v>
      </c>
      <c r="AA9" s="2215"/>
      <c r="AB9" s="2143" t="s">
        <v>889</v>
      </c>
      <c r="AC9" s="2143"/>
      <c r="AD9" s="2143"/>
      <c r="AE9" s="2143"/>
      <c r="AF9" s="2199" t="s">
        <v>890</v>
      </c>
      <c r="AG9" s="2143" t="s">
        <v>891</v>
      </c>
      <c r="AH9" s="2143"/>
      <c r="AI9" s="2199" t="s">
        <v>892</v>
      </c>
      <c r="AJ9" s="2143" t="s">
        <v>893</v>
      </c>
      <c r="AK9" s="2143"/>
      <c r="AL9" s="1043"/>
      <c r="AM9" s="820"/>
      <c r="AN9" s="820"/>
      <c r="AO9" s="820"/>
      <c r="AP9" s="820"/>
      <c r="AQ9" s="820"/>
      <c r="AR9" s="820"/>
      <c r="AS9" s="820"/>
      <c r="AT9" s="820"/>
      <c r="AU9" s="820"/>
      <c r="AV9" s="820"/>
      <c r="AW9" s="820"/>
      <c r="AX9" s="820"/>
      <c r="AY9" s="820"/>
      <c r="AZ9" s="820"/>
      <c r="BA9" s="820"/>
      <c r="BB9" s="820"/>
      <c r="BC9" s="820"/>
      <c r="BD9" s="820"/>
      <c r="BE9" s="820"/>
      <c r="BF9" s="820"/>
    </row>
    <row r="10" spans="1:58" ht="23.25" customHeight="1">
      <c r="A10" s="818"/>
      <c r="B10" s="818"/>
      <c r="C10" s="818"/>
      <c r="E10" s="825"/>
      <c r="F10" s="2229"/>
      <c r="G10" s="2317"/>
      <c r="H10" s="2230"/>
      <c r="I10" s="2143"/>
      <c r="J10" s="2143"/>
      <c r="K10" s="2143" t="s">
        <v>894</v>
      </c>
      <c r="L10" s="2115" t="s">
        <v>895</v>
      </c>
      <c r="M10" s="2114"/>
      <c r="N10" s="2143" t="s">
        <v>896</v>
      </c>
      <c r="O10" s="2143"/>
      <c r="P10" s="2143"/>
      <c r="Q10" s="2143"/>
      <c r="R10" s="2143"/>
      <c r="S10" s="2143"/>
      <c r="T10" s="2143"/>
      <c r="U10" s="2143"/>
      <c r="V10" s="2143"/>
      <c r="W10" s="2143"/>
      <c r="X10" s="2143"/>
      <c r="Y10" s="2143"/>
      <c r="Z10" s="2216"/>
      <c r="AA10" s="2217"/>
      <c r="AB10" s="2143"/>
      <c r="AC10" s="2143"/>
      <c r="AD10" s="2143"/>
      <c r="AE10" s="2143"/>
      <c r="AF10" s="2218"/>
      <c r="AG10" s="2143"/>
      <c r="AH10" s="2143"/>
      <c r="AI10" s="2218"/>
      <c r="AJ10" s="2143"/>
      <c r="AK10" s="2143"/>
      <c r="AL10" s="1043"/>
      <c r="AM10" s="826"/>
      <c r="AN10" s="826"/>
      <c r="AO10" s="826"/>
      <c r="AP10" s="826"/>
      <c r="AQ10" s="826"/>
      <c r="AR10" s="826"/>
      <c r="AS10" s="826"/>
      <c r="AT10" s="826"/>
      <c r="AU10" s="826"/>
      <c r="AV10" s="826"/>
      <c r="AW10" s="826"/>
      <c r="AX10" s="826"/>
      <c r="AY10" s="826"/>
      <c r="AZ10" s="826"/>
      <c r="BA10" s="826"/>
      <c r="BB10" s="826"/>
      <c r="BC10" s="826"/>
      <c r="BD10" s="826"/>
      <c r="BE10" s="826"/>
      <c r="BF10" s="826"/>
    </row>
    <row r="11" spans="1:58" s="2027" customFormat="1" ht="23.25" customHeight="1">
      <c r="A11" s="1031"/>
      <c r="B11" s="1031"/>
      <c r="C11" s="1031"/>
      <c r="D11" s="1030"/>
      <c r="E11" s="1032"/>
      <c r="F11" s="2229"/>
      <c r="G11" s="2317"/>
      <c r="H11" s="2230"/>
      <c r="I11" s="2143"/>
      <c r="J11" s="2143"/>
      <c r="K11" s="2143"/>
      <c r="L11" s="2199" t="s">
        <v>897</v>
      </c>
      <c r="M11" s="2199" t="s">
        <v>898</v>
      </c>
      <c r="N11" s="2143" t="s">
        <v>899</v>
      </c>
      <c r="O11" s="2143"/>
      <c r="P11" s="2171" t="s">
        <v>880</v>
      </c>
      <c r="Q11" s="2171" t="s">
        <v>900</v>
      </c>
      <c r="R11" s="2171" t="s">
        <v>901</v>
      </c>
      <c r="S11" s="2171" t="s">
        <v>902</v>
      </c>
      <c r="T11" s="2171"/>
      <c r="U11" s="2171"/>
      <c r="V11" s="2171"/>
      <c r="W11" s="2171"/>
      <c r="X11" s="2171"/>
      <c r="Y11" s="2171"/>
      <c r="Z11" s="2216"/>
      <c r="AA11" s="2217"/>
      <c r="AB11" s="2143" t="s">
        <v>903</v>
      </c>
      <c r="AC11" s="2143"/>
      <c r="AD11" s="2115" t="s">
        <v>904</v>
      </c>
      <c r="AE11" s="2114"/>
      <c r="AF11" s="2218"/>
      <c r="AG11" s="2143"/>
      <c r="AH11" s="2143"/>
      <c r="AI11" s="2218"/>
      <c r="AJ11" s="2143"/>
      <c r="AK11" s="2143"/>
      <c r="AL11" s="1043"/>
      <c r="AM11" s="1029"/>
      <c r="AN11" s="1029"/>
      <c r="AO11" s="1029"/>
      <c r="AP11" s="1029"/>
      <c r="AQ11" s="1029"/>
      <c r="AR11" s="1029"/>
      <c r="AS11" s="1029"/>
      <c r="AT11" s="1029"/>
      <c r="AU11" s="1029"/>
      <c r="AV11" s="1029"/>
      <c r="AW11" s="1029"/>
      <c r="AX11" s="1029"/>
      <c r="AY11" s="1029"/>
      <c r="AZ11" s="1029"/>
      <c r="BA11" s="1029"/>
      <c r="BB11" s="1029"/>
      <c r="BC11" s="1029"/>
      <c r="BD11" s="1029"/>
      <c r="BE11" s="1029"/>
      <c r="BF11" s="1029"/>
    </row>
    <row r="12" spans="1:58" ht="33.75" customHeight="1">
      <c r="A12" s="818"/>
      <c r="B12" s="818"/>
      <c r="C12" s="818"/>
      <c r="E12" s="821"/>
      <c r="F12" s="2229"/>
      <c r="G12" s="2318"/>
      <c r="H12" s="2375"/>
      <c r="I12" s="1053" t="s">
        <v>88</v>
      </c>
      <c r="J12" s="1053" t="s">
        <v>905</v>
      </c>
      <c r="K12" s="2143"/>
      <c r="L12" s="2249"/>
      <c r="M12" s="2249"/>
      <c r="N12" s="2143"/>
      <c r="O12" s="2143"/>
      <c r="P12" s="2171"/>
      <c r="Q12" s="2171"/>
      <c r="R12" s="2171"/>
      <c r="S12" s="1036" t="s">
        <v>85</v>
      </c>
      <c r="T12" s="1036" t="s">
        <v>86</v>
      </c>
      <c r="U12" s="1036" t="s">
        <v>84</v>
      </c>
      <c r="V12" s="1036" t="s">
        <v>906</v>
      </c>
      <c r="W12" s="1036" t="s">
        <v>84</v>
      </c>
      <c r="X12" s="1036" t="s">
        <v>907</v>
      </c>
      <c r="Y12" s="1036" t="s">
        <v>908</v>
      </c>
      <c r="Z12" s="2219"/>
      <c r="AA12" s="2220"/>
      <c r="AB12" s="1042" t="s">
        <v>909</v>
      </c>
      <c r="AC12" s="1042" t="s">
        <v>910</v>
      </c>
      <c r="AD12" s="1042" t="s">
        <v>909</v>
      </c>
      <c r="AE12" s="1042" t="s">
        <v>910</v>
      </c>
      <c r="AF12" s="2249"/>
      <c r="AG12" s="1054" t="s">
        <v>911</v>
      </c>
      <c r="AH12" s="1054" t="s">
        <v>912</v>
      </c>
      <c r="AI12" s="2249"/>
      <c r="AJ12" s="1054" t="s">
        <v>911</v>
      </c>
      <c r="AK12" s="1054" t="s">
        <v>912</v>
      </c>
      <c r="AL12" s="1043"/>
      <c r="AM12" s="820"/>
      <c r="AN12" s="820"/>
      <c r="AO12" s="820"/>
      <c r="AP12" s="820"/>
      <c r="AQ12" s="820"/>
      <c r="AR12" s="820"/>
      <c r="AS12" s="820"/>
      <c r="AT12" s="820"/>
      <c r="AU12" s="820"/>
      <c r="AV12" s="820"/>
      <c r="AW12" s="820"/>
      <c r="AX12" s="820"/>
      <c r="AY12" s="820"/>
      <c r="AZ12" s="820"/>
      <c r="BA12" s="820"/>
      <c r="BB12" s="820"/>
      <c r="BC12" s="820"/>
      <c r="BD12" s="820"/>
      <c r="BE12" s="820"/>
      <c r="BF12" s="820"/>
    </row>
    <row r="13" spans="1:58" ht="0.75" customHeight="1">
      <c r="E13" s="821"/>
      <c r="F13" s="1027">
        <v>0</v>
      </c>
      <c r="G13" s="1027"/>
      <c r="H13" s="1027"/>
      <c r="I13" s="1027"/>
      <c r="J13" s="1027"/>
      <c r="K13" s="1033"/>
      <c r="L13" s="1033"/>
      <c r="M13" s="1033"/>
      <c r="N13" s="1033"/>
      <c r="O13" s="1033"/>
      <c r="P13" s="1033"/>
      <c r="Q13" s="1033"/>
      <c r="R13" s="1033"/>
      <c r="S13" s="1033"/>
      <c r="T13" s="1033"/>
      <c r="U13" s="1033"/>
      <c r="V13" s="1033"/>
      <c r="W13" s="1033"/>
      <c r="X13" s="1033"/>
      <c r="Y13" s="1033"/>
      <c r="Z13" s="1033"/>
      <c r="AA13" s="1033"/>
      <c r="AB13" s="1033"/>
      <c r="AC13" s="1033"/>
      <c r="AD13" s="1033"/>
      <c r="AE13" s="1033"/>
      <c r="AF13" s="1033"/>
      <c r="AG13" s="1033"/>
      <c r="AH13" s="1049"/>
      <c r="AI13" s="1043"/>
      <c r="AJ13" s="1033"/>
      <c r="AK13" s="1033"/>
      <c r="AL13" s="822"/>
      <c r="AM13" s="820"/>
      <c r="AN13" s="820"/>
      <c r="AO13" s="820"/>
      <c r="AP13" s="820"/>
      <c r="AQ13" s="820"/>
      <c r="AR13" s="820"/>
      <c r="AS13" s="820"/>
      <c r="AT13" s="820"/>
      <c r="AU13" s="820"/>
      <c r="AV13" s="820"/>
      <c r="AW13" s="820"/>
      <c r="AX13" s="820"/>
      <c r="AY13" s="820"/>
      <c r="AZ13" s="820"/>
      <c r="BA13" s="820"/>
      <c r="BB13" s="820"/>
      <c r="BC13" s="820"/>
      <c r="BD13" s="820"/>
      <c r="BE13" s="820"/>
      <c r="BF13" s="820"/>
    </row>
    <row r="14" spans="1:58" ht="10.5" customHeight="1">
      <c r="E14" s="820"/>
      <c r="F14" s="831"/>
      <c r="G14" s="831"/>
      <c r="H14" s="1073"/>
      <c r="I14" s="831"/>
      <c r="J14" s="831"/>
      <c r="K14" s="831"/>
      <c r="L14" s="1033"/>
      <c r="M14" s="1033"/>
      <c r="N14" s="831"/>
      <c r="O14" s="831"/>
      <c r="P14" s="831"/>
      <c r="Q14" s="831"/>
      <c r="R14" s="831"/>
      <c r="S14" s="831"/>
      <c r="T14" s="831"/>
      <c r="U14" s="831"/>
      <c r="V14" s="831"/>
      <c r="W14" s="831"/>
      <c r="X14" s="831"/>
      <c r="Y14" s="831"/>
      <c r="Z14" s="831"/>
      <c r="AA14" s="831"/>
      <c r="AB14" s="831"/>
      <c r="AC14" s="831"/>
      <c r="AD14" s="1033"/>
      <c r="AE14" s="831"/>
      <c r="AF14" s="831"/>
      <c r="AG14" s="831"/>
      <c r="AH14" s="1049"/>
      <c r="AI14" s="1043"/>
      <c r="AJ14" s="831"/>
      <c r="AK14" s="831"/>
      <c r="AL14" s="820"/>
      <c r="AM14" s="820"/>
      <c r="AN14" s="820"/>
      <c r="AO14" s="820"/>
      <c r="AP14" s="820"/>
      <c r="AQ14" s="820"/>
      <c r="AR14" s="820"/>
      <c r="AS14" s="820"/>
      <c r="AT14" s="820"/>
      <c r="AU14" s="820"/>
      <c r="AV14" s="820"/>
      <c r="AW14" s="820"/>
      <c r="AX14" s="820"/>
      <c r="AY14" s="820"/>
      <c r="AZ14" s="820"/>
      <c r="BA14" s="820"/>
      <c r="BB14" s="820"/>
      <c r="BC14" s="820"/>
      <c r="BD14" s="820"/>
      <c r="BE14" s="820"/>
      <c r="BF14" s="820"/>
    </row>
    <row r="15" spans="1:58" ht="12.75" customHeight="1">
      <c r="E15" s="820"/>
      <c r="F15" s="827" t="s">
        <v>913</v>
      </c>
      <c r="G15" s="827"/>
      <c r="H15" s="1072"/>
      <c r="I15" s="827"/>
      <c r="J15" s="827"/>
      <c r="K15" s="824"/>
      <c r="L15" s="1029"/>
      <c r="M15" s="1029"/>
      <c r="N15" s="826"/>
      <c r="O15" s="826"/>
      <c r="P15" s="826"/>
      <c r="Q15" s="826"/>
      <c r="R15" s="826"/>
      <c r="S15" s="826"/>
      <c r="T15" s="826"/>
      <c r="U15" s="826"/>
      <c r="V15" s="826"/>
      <c r="W15" s="826"/>
      <c r="X15" s="826"/>
      <c r="Y15" s="826"/>
      <c r="Z15" s="824"/>
      <c r="AA15" s="824"/>
      <c r="AB15" s="824"/>
      <c r="AC15" s="824"/>
      <c r="AD15" s="1029"/>
      <c r="AE15" s="824"/>
      <c r="AF15" s="824"/>
      <c r="AG15" s="824"/>
      <c r="AH15" s="1046"/>
      <c r="AI15" s="1040"/>
      <c r="AJ15" s="824"/>
      <c r="AK15" s="824"/>
      <c r="AL15" s="820"/>
      <c r="AM15" s="820"/>
      <c r="AN15" s="820"/>
      <c r="AO15" s="820"/>
      <c r="AP15" s="820"/>
      <c r="AQ15" s="820"/>
      <c r="AR15" s="820"/>
      <c r="AS15" s="820"/>
      <c r="AT15" s="820"/>
      <c r="AU15" s="820"/>
      <c r="AV15" s="820"/>
      <c r="AW15" s="820"/>
      <c r="AX15" s="820"/>
      <c r="AY15" s="820"/>
      <c r="AZ15" s="820"/>
      <c r="BA15" s="820"/>
      <c r="BB15" s="820"/>
      <c r="BC15" s="820"/>
      <c r="BD15" s="820"/>
      <c r="BE15" s="820"/>
      <c r="BF15" s="820"/>
    </row>
    <row r="17" spans="5:58" ht="10.5" customHeight="1">
      <c r="E17" s="820"/>
      <c r="F17" s="2373"/>
      <c r="G17" s="2373"/>
      <c r="H17" s="2373"/>
      <c r="I17" s="2373"/>
      <c r="J17" s="2373"/>
      <c r="K17" s="824"/>
      <c r="L17" s="1029"/>
      <c r="M17" s="1029"/>
      <c r="N17" s="826"/>
      <c r="O17" s="826"/>
      <c r="P17" s="826"/>
      <c r="Q17" s="826"/>
      <c r="R17" s="826"/>
      <c r="S17" s="826"/>
      <c r="T17" s="826"/>
      <c r="U17" s="826"/>
      <c r="V17" s="826"/>
      <c r="W17" s="826"/>
      <c r="X17" s="826"/>
      <c r="Y17" s="826"/>
      <c r="Z17" s="824"/>
      <c r="AA17" s="824"/>
      <c r="AB17" s="824"/>
      <c r="AC17" s="824"/>
      <c r="AD17" s="1029"/>
      <c r="AE17" s="824"/>
      <c r="AF17" s="824"/>
      <c r="AG17" s="824"/>
      <c r="AH17" s="1046"/>
      <c r="AI17" s="1040"/>
      <c r="AJ17" s="824"/>
      <c r="AK17" s="824"/>
      <c r="AL17" s="820"/>
      <c r="AM17" s="820"/>
      <c r="AN17" s="820"/>
      <c r="AO17" s="820"/>
      <c r="AP17" s="820"/>
      <c r="AQ17" s="820"/>
      <c r="AR17" s="820"/>
      <c r="AS17" s="820"/>
      <c r="AT17" s="820"/>
      <c r="AU17" s="820"/>
      <c r="AV17" s="820"/>
      <c r="AW17" s="820"/>
      <c r="AX17" s="820"/>
      <c r="AY17" s="820"/>
      <c r="AZ17" s="820"/>
      <c r="BA17" s="820"/>
      <c r="BB17" s="820"/>
      <c r="BC17" s="820"/>
      <c r="BD17" s="820"/>
      <c r="BE17" s="820"/>
      <c r="BF17" s="820"/>
    </row>
    <row r="18" spans="5:58" ht="10.5" customHeight="1">
      <c r="E18" s="820"/>
      <c r="F18" s="2373"/>
      <c r="G18" s="2373"/>
      <c r="H18" s="2373"/>
      <c r="I18" s="2373"/>
      <c r="J18" s="2373"/>
      <c r="K18" s="824"/>
      <c r="L18" s="1029"/>
      <c r="M18" s="1029"/>
      <c r="N18" s="826"/>
      <c r="O18" s="826"/>
      <c r="P18" s="826"/>
      <c r="Q18" s="826"/>
      <c r="R18" s="826"/>
      <c r="S18" s="826"/>
      <c r="T18" s="826"/>
      <c r="U18" s="826"/>
      <c r="V18" s="826"/>
      <c r="W18" s="826"/>
      <c r="X18" s="826"/>
      <c r="Y18" s="826"/>
      <c r="Z18" s="824"/>
      <c r="AA18" s="824"/>
      <c r="AB18" s="824"/>
      <c r="AC18" s="824"/>
      <c r="AD18" s="1029"/>
      <c r="AE18" s="824"/>
      <c r="AF18" s="824"/>
      <c r="AG18" s="824"/>
      <c r="AH18" s="1046"/>
      <c r="AI18" s="1040"/>
      <c r="AJ18" s="824"/>
      <c r="AK18" s="824"/>
      <c r="AL18" s="820"/>
      <c r="AM18" s="820"/>
      <c r="AN18" s="820"/>
      <c r="AO18" s="820"/>
      <c r="AP18" s="820"/>
      <c r="AQ18" s="820"/>
      <c r="AR18" s="820"/>
      <c r="AS18" s="820"/>
      <c r="AT18" s="820"/>
      <c r="AU18" s="820"/>
      <c r="AV18" s="820"/>
      <c r="AW18" s="820"/>
      <c r="AX18" s="820"/>
      <c r="AY18" s="820"/>
      <c r="AZ18" s="820"/>
      <c r="BA18" s="820"/>
      <c r="BB18" s="820"/>
      <c r="BC18" s="820"/>
      <c r="BD18" s="820"/>
      <c r="BE18" s="820"/>
      <c r="BF18" s="820"/>
    </row>
    <row r="19" spans="5:58" ht="10.5" customHeight="1">
      <c r="E19" s="820"/>
      <c r="F19" s="2373"/>
      <c r="G19" s="2373"/>
      <c r="H19" s="2373"/>
      <c r="I19" s="2373"/>
      <c r="J19" s="2373"/>
      <c r="K19" s="824"/>
      <c r="L19" s="1029"/>
      <c r="M19" s="1029"/>
      <c r="N19" s="826"/>
      <c r="O19" s="826"/>
      <c r="P19" s="826"/>
      <c r="Q19" s="826"/>
      <c r="R19" s="826"/>
      <c r="S19" s="826"/>
      <c r="T19" s="826"/>
      <c r="U19" s="826"/>
      <c r="V19" s="826"/>
      <c r="W19" s="826"/>
      <c r="X19" s="826"/>
      <c r="Y19" s="826"/>
      <c r="Z19" s="824"/>
      <c r="AA19" s="824"/>
      <c r="AB19" s="824"/>
      <c r="AC19" s="824"/>
      <c r="AD19" s="1029"/>
      <c r="AE19" s="824"/>
      <c r="AF19" s="824"/>
      <c r="AG19" s="824"/>
      <c r="AH19" s="1046"/>
      <c r="AI19" s="1040"/>
      <c r="AJ19" s="824"/>
      <c r="AK19" s="824"/>
      <c r="AL19" s="820"/>
      <c r="AM19" s="820"/>
      <c r="AN19" s="820"/>
      <c r="AO19" s="820"/>
      <c r="AP19" s="820"/>
      <c r="AQ19" s="820"/>
      <c r="AR19" s="820"/>
      <c r="AS19" s="820"/>
      <c r="AT19" s="820"/>
      <c r="AU19" s="820"/>
      <c r="AV19" s="820"/>
      <c r="AW19" s="820"/>
      <c r="AX19" s="820"/>
      <c r="AY19" s="820"/>
      <c r="AZ19" s="820"/>
      <c r="BA19" s="820"/>
      <c r="BB19" s="820"/>
      <c r="BC19" s="820"/>
      <c r="BD19" s="820"/>
      <c r="BE19" s="820"/>
      <c r="BF19" s="820"/>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206A7-B15A-4E5D-E3CE-847D7CFF0E6F}">
  <sheetPr>
    <tabColor theme="9" tint="-0.249977111117893"/>
  </sheetPr>
  <dimension ref="A1:V58"/>
  <sheetViews>
    <sheetView showGridLines="0" topLeftCell="E4" zoomScale="85" workbookViewId="0"/>
  </sheetViews>
  <sheetFormatPr defaultColWidth="9.140625" defaultRowHeight="10.5" customHeight="1"/>
  <cols>
    <col min="1" max="3" width="4.140625" style="2026" hidden="1" customWidth="1"/>
    <col min="4" max="4" width="4.140625" style="1931" hidden="1" customWidth="1"/>
    <col min="5" max="5" width="3.7109375" style="1825" customWidth="1"/>
    <col min="6" max="6" width="6.28515625" style="1905" customWidth="1"/>
    <col min="7" max="7" width="60.140625" style="1905" customWidth="1"/>
    <col min="8" max="9" width="21.7109375" style="1905" hidden="1" customWidth="1"/>
    <col min="10" max="10" width="0.140625" style="1905" customWidth="1"/>
    <col min="11" max="11" width="1.7109375" style="1905" customWidth="1"/>
    <col min="12" max="22" width="9.140625" style="1905"/>
  </cols>
  <sheetData>
    <row r="1" spans="1:22" s="1931" customFormat="1" ht="10.5" hidden="1" customHeight="1">
      <c r="A1" s="1066"/>
      <c r="B1" s="1066"/>
      <c r="C1" s="1066"/>
      <c r="E1" s="462"/>
    </row>
    <row r="2" spans="1:22" ht="10.5" hidden="1" customHeight="1"/>
    <row r="3" spans="1:22" s="1904" customFormat="1" ht="10.5" hidden="1" customHeight="1">
      <c r="A3" s="1066"/>
      <c r="B3" s="1066"/>
      <c r="C3" s="1066"/>
      <c r="D3" s="1060"/>
      <c r="E3" s="289"/>
    </row>
    <row r="4" spans="1:22" ht="3" customHeight="1"/>
    <row r="5" spans="1:22" ht="25.5" customHeight="1">
      <c r="F5" s="2254"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4"/>
      <c r="H5" s="2254"/>
      <c r="I5" s="2254"/>
      <c r="J5" s="2254"/>
    </row>
    <row r="6" spans="1:22" ht="10.5" customHeight="1">
      <c r="F6" s="2200" t="str">
        <f>IF(org=0,"Не определено",org)</f>
        <v>ПАО "Юнипро"</v>
      </c>
      <c r="G6" s="2200"/>
      <c r="H6" s="2200"/>
      <c r="I6" s="2200"/>
      <c r="J6" s="2200"/>
    </row>
    <row r="7" spans="1:22" ht="11.25" customHeight="1">
      <c r="E7" s="1070"/>
      <c r="F7" s="1136"/>
      <c r="G7" s="1136"/>
      <c r="H7" s="1136"/>
      <c r="I7" s="1136"/>
      <c r="J7" s="1136"/>
      <c r="K7" s="1057"/>
      <c r="L7" s="1057"/>
      <c r="M7" s="1057"/>
      <c r="N7" s="1057"/>
      <c r="O7" s="1057"/>
      <c r="P7" s="1057"/>
      <c r="Q7" s="1057"/>
      <c r="R7" s="1057"/>
      <c r="S7" s="1057"/>
      <c r="T7" s="1057"/>
      <c r="U7" s="1057"/>
      <c r="V7" s="1057"/>
    </row>
    <row r="8" spans="1:22" s="1820" customFormat="1" ht="5.25" customHeight="1">
      <c r="A8" s="1067"/>
      <c r="B8" s="1067"/>
      <c r="C8" s="1067"/>
      <c r="E8" s="1137"/>
      <c r="F8" s="1138"/>
      <c r="G8" s="1138"/>
      <c r="H8" s="1138"/>
      <c r="I8" s="1138"/>
      <c r="J8" s="1138"/>
      <c r="K8" s="1137"/>
      <c r="L8" s="1137"/>
      <c r="M8" s="1137"/>
      <c r="N8" s="1137"/>
      <c r="O8" s="1137"/>
      <c r="P8" s="1137"/>
      <c r="Q8" s="1137"/>
      <c r="R8" s="1137"/>
      <c r="S8" s="1137"/>
      <c r="T8" s="1137"/>
      <c r="U8" s="1137"/>
      <c r="V8" s="1137"/>
    </row>
    <row r="9" spans="1:22" ht="10.5" customHeight="1">
      <c r="E9" s="1070"/>
      <c r="F9" s="2379" t="s">
        <v>289</v>
      </c>
      <c r="G9" s="2380"/>
      <c r="H9" s="2380"/>
      <c r="I9" s="2380"/>
      <c r="J9" s="2380"/>
      <c r="K9" s="1149"/>
      <c r="L9" s="1057"/>
      <c r="M9" s="1057"/>
      <c r="N9" s="1057"/>
      <c r="O9" s="1057"/>
      <c r="P9" s="1057"/>
      <c r="Q9" s="1057"/>
      <c r="R9" s="1057"/>
      <c r="S9" s="1057"/>
      <c r="T9" s="1057"/>
      <c r="U9" s="1057"/>
      <c r="V9" s="1057"/>
    </row>
    <row r="10" spans="1:22" ht="24" customHeight="1">
      <c r="E10" s="1057"/>
      <c r="F10" s="2383" t="s">
        <v>87</v>
      </c>
      <c r="G10" s="2387" t="s">
        <v>914</v>
      </c>
      <c r="H10" s="2369" t="s">
        <v>915</v>
      </c>
      <c r="I10" s="2369"/>
      <c r="J10" s="2369"/>
      <c r="K10" s="1142"/>
      <c r="L10" s="1057"/>
      <c r="M10" s="1057"/>
      <c r="N10" s="1057"/>
      <c r="O10" s="1057"/>
      <c r="P10" s="1057"/>
      <c r="Q10" s="1057"/>
      <c r="R10" s="1057"/>
      <c r="S10" s="1057"/>
      <c r="T10" s="1057"/>
      <c r="U10" s="1057"/>
      <c r="V10" s="1057"/>
    </row>
    <row r="11" spans="1:22" ht="24" customHeight="1">
      <c r="E11" s="1057"/>
      <c r="F11" s="2384"/>
      <c r="G11" s="2387"/>
      <c r="H11" s="2386" t="e">
        <f>INDEX(IP_MAIN_LIST_NAME_IP,MATCH(H8,IP_MAIN_LIST_IP_ID,0))&amp;" ("&amp;INDEX(IP_MAIN_START_DATE,MATCH(H8,IP_MAIN_LIST_IP_ID,0))&amp;"-"&amp;INDEX(IP_MAIN_END_DATE,MATCH(H8,IP_MAIN_LIST_IP_ID,0))&amp;")"</f>
        <v>#N/A</v>
      </c>
      <c r="I11" s="2386"/>
      <c r="J11" s="2386"/>
      <c r="K11" s="1142"/>
      <c r="L11" s="1057"/>
      <c r="M11" s="1057"/>
      <c r="N11" s="1057"/>
      <c r="O11" s="1057"/>
      <c r="P11" s="1057"/>
      <c r="Q11" s="1057"/>
      <c r="R11" s="1057"/>
      <c r="S11" s="1057"/>
      <c r="T11" s="1057"/>
      <c r="U11" s="1057"/>
      <c r="V11" s="1057"/>
    </row>
    <row r="12" spans="1:22" ht="10.5" customHeight="1">
      <c r="F12" s="2385"/>
      <c r="G12" s="2387"/>
      <c r="H12" s="1135" t="s">
        <v>916</v>
      </c>
      <c r="I12" s="1141"/>
      <c r="J12" s="1135"/>
      <c r="K12" s="1143"/>
    </row>
    <row r="13" spans="1:22" ht="10.5" hidden="1" customHeight="1">
      <c r="F13" s="1135">
        <v>1</v>
      </c>
      <c r="G13" s="1135">
        <v>2</v>
      </c>
      <c r="H13" s="1135">
        <v>3</v>
      </c>
      <c r="I13" s="1135">
        <v>4</v>
      </c>
      <c r="J13" s="1135">
        <v>5</v>
      </c>
      <c r="K13" s="1143"/>
    </row>
    <row r="14" spans="1:22" ht="11.25" customHeight="1">
      <c r="F14" s="1134" t="s">
        <v>917</v>
      </c>
      <c r="G14" s="2381" t="s">
        <v>918</v>
      </c>
      <c r="H14" s="2381"/>
      <c r="I14" s="2381"/>
      <c r="J14" s="2381"/>
      <c r="K14" s="1143"/>
    </row>
    <row r="15" spans="1:22" ht="11.25" customHeight="1">
      <c r="F15" s="1139">
        <v>1</v>
      </c>
      <c r="G15" s="610" t="s">
        <v>919</v>
      </c>
      <c r="H15" s="1145">
        <f t="shared" ref="H15:H36" si="0">SUM(I15:J15)</f>
        <v>0</v>
      </c>
      <c r="I15" s="1145">
        <f>SUM(I16:I27)</f>
        <v>0</v>
      </c>
      <c r="J15" s="1134"/>
      <c r="K15" s="1143"/>
    </row>
    <row r="16" spans="1:22" ht="22.5" customHeight="1">
      <c r="F16" s="1139" t="s">
        <v>920</v>
      </c>
      <c r="G16" s="1146" t="s">
        <v>921</v>
      </c>
      <c r="H16" s="1145">
        <f t="shared" si="0"/>
        <v>0</v>
      </c>
      <c r="I16" s="1144"/>
      <c r="J16" s="1134"/>
      <c r="K16" s="1143"/>
    </row>
    <row r="17" spans="6:11" ht="22.5" customHeight="1">
      <c r="F17" s="1139" t="s">
        <v>922</v>
      </c>
      <c r="G17" s="1146" t="s">
        <v>923</v>
      </c>
      <c r="H17" s="1145">
        <f t="shared" si="0"/>
        <v>0</v>
      </c>
      <c r="I17" s="1144"/>
      <c r="J17" s="1134"/>
      <c r="K17" s="1143"/>
    </row>
    <row r="18" spans="6:11" ht="33.75" customHeight="1">
      <c r="F18" s="1139" t="s">
        <v>924</v>
      </c>
      <c r="G18" s="1146" t="s">
        <v>925</v>
      </c>
      <c r="H18" s="1145">
        <f t="shared" si="0"/>
        <v>0</v>
      </c>
      <c r="I18" s="1144"/>
      <c r="J18" s="1134"/>
      <c r="K18" s="1143"/>
    </row>
    <row r="19" spans="6:11" ht="33.75" customHeight="1">
      <c r="F19" s="1139" t="s">
        <v>926</v>
      </c>
      <c r="G19" s="1146" t="s">
        <v>927</v>
      </c>
      <c r="H19" s="1145">
        <f t="shared" si="0"/>
        <v>0</v>
      </c>
      <c r="I19" s="1144"/>
      <c r="J19" s="1134"/>
      <c r="K19" s="1143"/>
    </row>
    <row r="20" spans="6:11" ht="45" customHeight="1">
      <c r="F20" s="1139" t="s">
        <v>928</v>
      </c>
      <c r="G20" s="1146" t="s">
        <v>929</v>
      </c>
      <c r="H20" s="1145">
        <f t="shared" si="0"/>
        <v>0</v>
      </c>
      <c r="I20" s="1144"/>
      <c r="J20" s="1134"/>
      <c r="K20" s="1143"/>
    </row>
    <row r="21" spans="6:11" ht="33.75" customHeight="1">
      <c r="F21" s="1139" t="s">
        <v>930</v>
      </c>
      <c r="G21" s="1146" t="s">
        <v>931</v>
      </c>
      <c r="H21" s="1145">
        <f t="shared" si="0"/>
        <v>0</v>
      </c>
      <c r="I21" s="1144"/>
      <c r="J21" s="1134"/>
      <c r="K21" s="1143"/>
    </row>
    <row r="22" spans="6:11" ht="33.75" customHeight="1">
      <c r="F22" s="1139" t="s">
        <v>932</v>
      </c>
      <c r="G22" s="1146" t="s">
        <v>933</v>
      </c>
      <c r="H22" s="1145">
        <f t="shared" si="0"/>
        <v>0</v>
      </c>
      <c r="I22" s="1144"/>
      <c r="J22" s="1134"/>
      <c r="K22" s="1143"/>
    </row>
    <row r="23" spans="6:11" ht="22.5" customHeight="1">
      <c r="F23" s="1139" t="s">
        <v>934</v>
      </c>
      <c r="G23" s="1146" t="s">
        <v>935</v>
      </c>
      <c r="H23" s="1145">
        <f t="shared" si="0"/>
        <v>0</v>
      </c>
      <c r="I23" s="1144"/>
      <c r="J23" s="1134"/>
      <c r="K23" s="1143"/>
    </row>
    <row r="24" spans="6:11" ht="22.5" customHeight="1">
      <c r="F24" s="1139" t="s">
        <v>936</v>
      </c>
      <c r="G24" s="1146" t="s">
        <v>937</v>
      </c>
      <c r="H24" s="1145">
        <f t="shared" si="0"/>
        <v>0</v>
      </c>
      <c r="I24" s="1144"/>
      <c r="J24" s="1134"/>
      <c r="K24" s="1143"/>
    </row>
    <row r="25" spans="6:11" ht="33.75" customHeight="1">
      <c r="F25" s="1139" t="s">
        <v>938</v>
      </c>
      <c r="G25" s="1146" t="s">
        <v>939</v>
      </c>
      <c r="H25" s="1145">
        <f t="shared" si="0"/>
        <v>0</v>
      </c>
      <c r="I25" s="1144"/>
      <c r="J25" s="1134"/>
      <c r="K25" s="1143"/>
    </row>
    <row r="26" spans="6:11" ht="33.75" customHeight="1">
      <c r="F26" s="1139" t="s">
        <v>940</v>
      </c>
      <c r="G26" s="1146" t="s">
        <v>941</v>
      </c>
      <c r="H26" s="1145">
        <f t="shared" si="0"/>
        <v>0</v>
      </c>
      <c r="I26" s="1144"/>
      <c r="J26" s="1134"/>
      <c r="K26" s="1143"/>
    </row>
    <row r="27" spans="6:11" ht="11.25" customHeight="1">
      <c r="F27" s="1139" t="s">
        <v>942</v>
      </c>
      <c r="G27" s="1146" t="s">
        <v>943</v>
      </c>
      <c r="H27" s="1145">
        <f t="shared" si="0"/>
        <v>0</v>
      </c>
      <c r="I27" s="1144"/>
      <c r="J27" s="1134"/>
      <c r="K27" s="1143"/>
    </row>
    <row r="28" spans="6:11" ht="11.25" customHeight="1">
      <c r="F28" s="1139">
        <v>2</v>
      </c>
      <c r="G28" s="610" t="s">
        <v>944</v>
      </c>
      <c r="H28" s="1145">
        <f t="shared" si="0"/>
        <v>0</v>
      </c>
      <c r="I28" s="1145">
        <f>SUM(I29:I31)</f>
        <v>0</v>
      </c>
      <c r="J28" s="1134"/>
      <c r="K28" s="1143"/>
    </row>
    <row r="29" spans="6:11" ht="11.25" customHeight="1">
      <c r="F29" s="1139" t="s">
        <v>606</v>
      </c>
      <c r="G29" s="1146" t="s">
        <v>945</v>
      </c>
      <c r="H29" s="1145">
        <f t="shared" si="0"/>
        <v>0</v>
      </c>
      <c r="I29" s="1144"/>
      <c r="J29" s="1134"/>
      <c r="K29" s="1143"/>
    </row>
    <row r="30" spans="6:11" ht="11.25" customHeight="1">
      <c r="F30" s="1139" t="s">
        <v>296</v>
      </c>
      <c r="G30" s="1146" t="s">
        <v>946</v>
      </c>
      <c r="H30" s="1145">
        <f t="shared" si="0"/>
        <v>0</v>
      </c>
      <c r="I30" s="1144"/>
      <c r="J30" s="1134"/>
      <c r="K30" s="1143"/>
    </row>
    <row r="31" spans="6:11" ht="11.25" customHeight="1">
      <c r="F31" s="1139" t="s">
        <v>299</v>
      </c>
      <c r="G31" s="1146" t="s">
        <v>947</v>
      </c>
      <c r="H31" s="1145">
        <f t="shared" si="0"/>
        <v>0</v>
      </c>
      <c r="I31" s="1144"/>
      <c r="J31" s="1134"/>
      <c r="K31" s="1143"/>
    </row>
    <row r="32" spans="6:11" ht="11.25" customHeight="1">
      <c r="F32" s="1139">
        <v>3</v>
      </c>
      <c r="G32" s="610" t="s">
        <v>948</v>
      </c>
      <c r="H32" s="1145">
        <f t="shared" si="0"/>
        <v>0</v>
      </c>
      <c r="I32" s="1145">
        <f>SUM(I33:I34)</f>
        <v>0</v>
      </c>
      <c r="J32" s="1134"/>
      <c r="K32" s="1143"/>
    </row>
    <row r="33" spans="6:11" ht="33.75" customHeight="1">
      <c r="F33" s="1139" t="s">
        <v>315</v>
      </c>
      <c r="G33" s="1146" t="s">
        <v>949</v>
      </c>
      <c r="H33" s="1145">
        <f t="shared" si="0"/>
        <v>0</v>
      </c>
      <c r="I33" s="1144"/>
      <c r="J33" s="1134"/>
      <c r="K33" s="1143"/>
    </row>
    <row r="34" spans="6:11" ht="11.25" customHeight="1">
      <c r="F34" s="1139" t="s">
        <v>323</v>
      </c>
      <c r="G34" s="1146" t="s">
        <v>950</v>
      </c>
      <c r="H34" s="1145">
        <f t="shared" si="0"/>
        <v>0</v>
      </c>
      <c r="I34" s="1144"/>
      <c r="J34" s="1134"/>
      <c r="K34" s="1143"/>
    </row>
    <row r="35" spans="6:11" ht="11.25" customHeight="1">
      <c r="F35" s="1139">
        <v>4</v>
      </c>
      <c r="G35" s="610" t="s">
        <v>951</v>
      </c>
      <c r="H35" s="1145">
        <f t="shared" si="0"/>
        <v>0</v>
      </c>
      <c r="I35" s="1144"/>
      <c r="J35" s="1134"/>
      <c r="K35" s="1143"/>
    </row>
    <row r="36" spans="6:11" ht="11.25" customHeight="1">
      <c r="F36" s="1139"/>
      <c r="G36" s="613" t="s">
        <v>952</v>
      </c>
      <c r="H36" s="1145">
        <f t="shared" si="0"/>
        <v>0</v>
      </c>
      <c r="I36" s="1145">
        <f>SUM(I15,I28,I32,I35)</f>
        <v>0</v>
      </c>
      <c r="J36" s="1134"/>
      <c r="K36" s="1143"/>
    </row>
    <row r="37" spans="6:11" ht="27.75" customHeight="1">
      <c r="F37" s="1140" t="s">
        <v>953</v>
      </c>
      <c r="G37" s="2382" t="s">
        <v>954</v>
      </c>
      <c r="H37" s="2382"/>
      <c r="I37" s="2382"/>
      <c r="J37" s="2382"/>
      <c r="K37" s="1143"/>
    </row>
    <row r="38" spans="6:11" ht="22.5" customHeight="1">
      <c r="F38" s="1139" t="s">
        <v>108</v>
      </c>
      <c r="G38" s="610" t="s">
        <v>955</v>
      </c>
      <c r="H38" s="1145">
        <f t="shared" ref="H38:H58" si="1">SUM(I38:J38)</f>
        <v>0</v>
      </c>
      <c r="I38" s="1145">
        <f>SUM(I39,I44,I47)</f>
        <v>0</v>
      </c>
      <c r="J38" s="1134"/>
      <c r="K38" s="1143"/>
    </row>
    <row r="39" spans="6:11" ht="11.25" customHeight="1">
      <c r="F39" s="1139" t="s">
        <v>920</v>
      </c>
      <c r="G39" s="1146" t="s">
        <v>919</v>
      </c>
      <c r="H39" s="1145">
        <f t="shared" si="1"/>
        <v>0</v>
      </c>
      <c r="I39" s="1145">
        <f>SUM(I40:I43)</f>
        <v>0</v>
      </c>
      <c r="J39" s="1134"/>
      <c r="K39" s="1143"/>
    </row>
    <row r="40" spans="6:11" ht="22.5" customHeight="1">
      <c r="F40" s="1139" t="s">
        <v>956</v>
      </c>
      <c r="G40" s="1147" t="s">
        <v>957</v>
      </c>
      <c r="H40" s="1145">
        <f t="shared" si="1"/>
        <v>0</v>
      </c>
      <c r="I40" s="1144"/>
      <c r="J40" s="1134"/>
      <c r="K40" s="1143"/>
    </row>
    <row r="41" spans="6:11" ht="11.25" customHeight="1">
      <c r="F41" s="1139" t="s">
        <v>958</v>
      </c>
      <c r="G41" s="1147" t="s">
        <v>959</v>
      </c>
      <c r="H41" s="1145">
        <f t="shared" si="1"/>
        <v>0</v>
      </c>
      <c r="I41" s="1144"/>
      <c r="J41" s="1134"/>
      <c r="K41" s="1143"/>
    </row>
    <row r="42" spans="6:11" ht="11.25" customHeight="1">
      <c r="F42" s="1139" t="s">
        <v>960</v>
      </c>
      <c r="G42" s="1147" t="s">
        <v>961</v>
      </c>
      <c r="H42" s="1145">
        <f t="shared" si="1"/>
        <v>0</v>
      </c>
      <c r="I42" s="1144"/>
      <c r="J42" s="1134"/>
      <c r="K42" s="1143"/>
    </row>
    <row r="43" spans="6:11" ht="33.75" customHeight="1">
      <c r="F43" s="1139" t="s">
        <v>962</v>
      </c>
      <c r="G43" s="1147" t="s">
        <v>963</v>
      </c>
      <c r="H43" s="1145">
        <f t="shared" si="1"/>
        <v>0</v>
      </c>
      <c r="I43" s="1144"/>
      <c r="J43" s="1134"/>
      <c r="K43" s="1143"/>
    </row>
    <row r="44" spans="6:11" ht="11.25" customHeight="1">
      <c r="F44" s="1139" t="s">
        <v>922</v>
      </c>
      <c r="G44" s="1146" t="s">
        <v>948</v>
      </c>
      <c r="H44" s="1145">
        <f t="shared" si="1"/>
        <v>0</v>
      </c>
      <c r="I44" s="1145">
        <f>SUM(I45:I46)</f>
        <v>0</v>
      </c>
      <c r="J44" s="1134"/>
      <c r="K44" s="1143"/>
    </row>
    <row r="45" spans="6:11" ht="45" customHeight="1">
      <c r="F45" s="1139" t="s">
        <v>964</v>
      </c>
      <c r="G45" s="1147" t="s">
        <v>949</v>
      </c>
      <c r="H45" s="1145">
        <f t="shared" si="1"/>
        <v>0</v>
      </c>
      <c r="I45" s="1144"/>
      <c r="J45" s="1134"/>
      <c r="K45" s="1143"/>
    </row>
    <row r="46" spans="6:11" ht="11.25" customHeight="1">
      <c r="F46" s="1139" t="s">
        <v>965</v>
      </c>
      <c r="G46" s="1147" t="s">
        <v>950</v>
      </c>
      <c r="H46" s="1145">
        <f t="shared" si="1"/>
        <v>0</v>
      </c>
      <c r="I46" s="1144"/>
      <c r="J46" s="1134"/>
      <c r="K46" s="1143"/>
    </row>
    <row r="47" spans="6:11" ht="11.25" customHeight="1">
      <c r="F47" s="1139" t="s">
        <v>924</v>
      </c>
      <c r="G47" s="1146" t="s">
        <v>966</v>
      </c>
      <c r="H47" s="1145">
        <f t="shared" si="1"/>
        <v>0</v>
      </c>
      <c r="I47" s="1144"/>
      <c r="J47" s="1134"/>
      <c r="K47" s="1143"/>
    </row>
    <row r="48" spans="6:11" ht="22.5" customHeight="1">
      <c r="F48" s="1139" t="s">
        <v>109</v>
      </c>
      <c r="G48" s="610" t="s">
        <v>967</v>
      </c>
      <c r="H48" s="1145">
        <f t="shared" si="1"/>
        <v>0</v>
      </c>
      <c r="I48" s="1145">
        <f>SUM(I49,I54,I57)</f>
        <v>0</v>
      </c>
      <c r="J48" s="1134"/>
      <c r="K48" s="1143"/>
    </row>
    <row r="49" spans="6:11" ht="11.25" customHeight="1">
      <c r="F49" s="1139" t="s">
        <v>606</v>
      </c>
      <c r="G49" s="1146" t="s">
        <v>919</v>
      </c>
      <c r="H49" s="1145">
        <f t="shared" si="1"/>
        <v>0</v>
      </c>
      <c r="I49" s="1145">
        <f>SUM(I50:I53)</f>
        <v>0</v>
      </c>
      <c r="J49" s="1134"/>
      <c r="K49" s="1143"/>
    </row>
    <row r="50" spans="6:11" ht="22.5" customHeight="1">
      <c r="F50" s="1139" t="s">
        <v>609</v>
      </c>
      <c r="G50" s="1147" t="s">
        <v>957</v>
      </c>
      <c r="H50" s="1145">
        <f t="shared" si="1"/>
        <v>0</v>
      </c>
      <c r="I50" s="1144"/>
      <c r="J50" s="1134"/>
      <c r="K50" s="1143"/>
    </row>
    <row r="51" spans="6:11" ht="11.25" customHeight="1">
      <c r="F51" s="1139" t="s">
        <v>612</v>
      </c>
      <c r="G51" s="1147" t="s">
        <v>959</v>
      </c>
      <c r="H51" s="1145">
        <f t="shared" si="1"/>
        <v>0</v>
      </c>
      <c r="I51" s="1144"/>
      <c r="J51" s="1134"/>
      <c r="K51" s="1143"/>
    </row>
    <row r="52" spans="6:11" ht="11.25" customHeight="1">
      <c r="F52" s="1139" t="s">
        <v>968</v>
      </c>
      <c r="G52" s="1147" t="s">
        <v>961</v>
      </c>
      <c r="H52" s="1145">
        <f t="shared" si="1"/>
        <v>0</v>
      </c>
      <c r="I52" s="1144"/>
      <c r="J52" s="1134"/>
      <c r="K52" s="1143"/>
    </row>
    <row r="53" spans="6:11" ht="33.75" customHeight="1">
      <c r="F53" s="1139" t="s">
        <v>969</v>
      </c>
      <c r="G53" s="1147" t="s">
        <v>963</v>
      </c>
      <c r="H53" s="1145">
        <f t="shared" si="1"/>
        <v>0</v>
      </c>
      <c r="I53" s="1144"/>
      <c r="J53" s="1134"/>
      <c r="K53" s="1143"/>
    </row>
    <row r="54" spans="6:11" ht="11.25" customHeight="1">
      <c r="F54" s="1139" t="s">
        <v>296</v>
      </c>
      <c r="G54" s="1146" t="s">
        <v>948</v>
      </c>
      <c r="H54" s="1145">
        <f t="shared" si="1"/>
        <v>0</v>
      </c>
      <c r="I54" s="1145">
        <f>SUM(I55:I56)</f>
        <v>0</v>
      </c>
      <c r="J54" s="1134"/>
      <c r="K54" s="1143"/>
    </row>
    <row r="55" spans="6:11" ht="45" customHeight="1">
      <c r="F55" s="1139" t="s">
        <v>616</v>
      </c>
      <c r="G55" s="1147" t="s">
        <v>949</v>
      </c>
      <c r="H55" s="1145">
        <f t="shared" si="1"/>
        <v>0</v>
      </c>
      <c r="I55" s="1144"/>
      <c r="J55" s="1134"/>
      <c r="K55" s="1143"/>
    </row>
    <row r="56" spans="6:11" ht="11.25" customHeight="1">
      <c r="F56" s="1139" t="s">
        <v>618</v>
      </c>
      <c r="G56" s="1147" t="s">
        <v>950</v>
      </c>
      <c r="H56" s="1145">
        <f t="shared" si="1"/>
        <v>0</v>
      </c>
      <c r="I56" s="1144"/>
      <c r="J56" s="1134"/>
      <c r="K56" s="1143"/>
    </row>
    <row r="57" spans="6:11" ht="11.25" customHeight="1">
      <c r="F57" s="1139" t="s">
        <v>299</v>
      </c>
      <c r="G57" s="1146" t="s">
        <v>966</v>
      </c>
      <c r="H57" s="1145">
        <f t="shared" si="1"/>
        <v>0</v>
      </c>
      <c r="I57" s="1144"/>
      <c r="J57" s="1134"/>
      <c r="K57" s="1143"/>
    </row>
    <row r="58" spans="6:11" ht="11.25" customHeight="1">
      <c r="F58" s="1139"/>
      <c r="G58" s="1148" t="s">
        <v>952</v>
      </c>
      <c r="H58" s="1145">
        <f t="shared" si="1"/>
        <v>0</v>
      </c>
      <c r="I58" s="1145">
        <f>SUM(I38,I48)</f>
        <v>0</v>
      </c>
      <c r="J58" s="1134"/>
      <c r="K58" s="1143"/>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5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D8EC2-8B9C-8397-84F4-F45D0D17C229}">
  <sheetPr>
    <tabColor theme="9" tint="-0.249977111117893"/>
  </sheetPr>
  <dimension ref="A1:GB24"/>
  <sheetViews>
    <sheetView showGridLines="0" topLeftCell="E4" zoomScale="90" workbookViewId="0"/>
  </sheetViews>
  <sheetFormatPr defaultColWidth="9.140625" defaultRowHeight="12" customHeight="1"/>
  <cols>
    <col min="1" max="1" width="4.7109375" style="2037" hidden="1" customWidth="1"/>
    <col min="2" max="2" width="4.7109375" style="2038" hidden="1" customWidth="1"/>
    <col min="3" max="4" width="4.7109375" style="2037" hidden="1" customWidth="1"/>
    <col min="5" max="5" width="3.5703125" style="2037" customWidth="1"/>
    <col min="6" max="6" width="6.7109375" style="2037" customWidth="1"/>
    <col min="7" max="7" width="18.7109375" style="2037" customWidth="1"/>
    <col min="8" max="8" width="27.28515625" style="2037" customWidth="1"/>
    <col min="9" max="9" width="18.7109375" style="2037" customWidth="1"/>
    <col min="10" max="14" width="0.85546875" style="2037" hidden="1" customWidth="1"/>
    <col min="15" max="28" width="21.7109375" style="2037" hidden="1" customWidth="1"/>
    <col min="29" max="71" width="0.85546875" style="2037" hidden="1" customWidth="1"/>
    <col min="72" max="79" width="21.7109375" style="2037" customWidth="1"/>
    <col min="80" max="81" width="29.140625" style="2037" customWidth="1"/>
    <col min="82" max="89" width="21.7109375" style="2037" customWidth="1"/>
    <col min="90" max="102" width="0.7109375" style="2037" customWidth="1"/>
    <col min="103" max="114" width="21.7109375" style="2037" hidden="1" customWidth="1"/>
    <col min="115" max="178" width="0.7109375" style="2037" hidden="1" customWidth="1"/>
    <col min="179" max="179" width="0.140625" style="2037" customWidth="1"/>
    <col min="180" max="184" width="9.140625" style="2037"/>
  </cols>
  <sheetData>
    <row r="1" spans="2:180" s="2030" customFormat="1" ht="12" hidden="1" customHeight="1">
      <c r="B1" s="835"/>
      <c r="C1" s="836"/>
      <c r="D1" s="836"/>
    </row>
    <row r="2" spans="2:180" s="2030" customFormat="1" ht="12" hidden="1" customHeight="1">
      <c r="B2" s="835"/>
      <c r="C2" s="836"/>
      <c r="D2" s="836"/>
      <c r="E2" s="836"/>
      <c r="F2" s="836"/>
      <c r="G2" s="836"/>
      <c r="H2" s="836"/>
      <c r="I2" s="836"/>
      <c r="J2" s="836"/>
      <c r="K2" s="836"/>
      <c r="L2" s="836"/>
      <c r="M2" s="836"/>
      <c r="N2" s="836"/>
      <c r="O2" s="836"/>
      <c r="P2" s="836"/>
      <c r="Q2" s="836"/>
      <c r="R2" s="836"/>
      <c r="S2" s="836"/>
      <c r="T2" s="836"/>
      <c r="U2" s="836"/>
      <c r="V2" s="836"/>
      <c r="W2" s="836"/>
      <c r="X2" s="836"/>
      <c r="Y2" s="836"/>
      <c r="Z2" s="836"/>
      <c r="AA2" s="836"/>
      <c r="AB2" s="837"/>
      <c r="AC2" s="836"/>
      <c r="AD2" s="836"/>
      <c r="AE2" s="836"/>
      <c r="AF2" s="836"/>
      <c r="AG2" s="836"/>
      <c r="AH2" s="836"/>
      <c r="AI2" s="836"/>
      <c r="AJ2" s="836"/>
      <c r="AK2" s="836"/>
      <c r="AL2" s="836"/>
      <c r="AM2" s="836"/>
      <c r="AN2" s="836"/>
      <c r="AO2" s="836"/>
      <c r="AP2" s="836"/>
      <c r="AQ2" s="836"/>
      <c r="AR2" s="836"/>
      <c r="AS2" s="836"/>
      <c r="AT2" s="836"/>
      <c r="AU2" s="836"/>
      <c r="AV2" s="836"/>
      <c r="AW2" s="836"/>
      <c r="AX2" s="836"/>
      <c r="AY2" s="836"/>
      <c r="AZ2" s="836"/>
      <c r="BA2" s="836"/>
      <c r="BB2" s="836"/>
      <c r="BC2" s="836"/>
      <c r="BD2" s="836"/>
      <c r="BE2" s="836"/>
      <c r="BF2" s="836"/>
      <c r="BG2" s="836"/>
      <c r="BH2" s="836"/>
      <c r="BI2" s="836"/>
      <c r="BJ2" s="836"/>
      <c r="BK2" s="836"/>
      <c r="BL2" s="836"/>
      <c r="BM2" s="836"/>
      <c r="BN2" s="836"/>
      <c r="BO2" s="836"/>
      <c r="BP2" s="836"/>
      <c r="BQ2" s="836"/>
      <c r="BR2" s="836"/>
      <c r="BS2" s="836"/>
      <c r="BT2" s="836"/>
      <c r="BU2" s="836"/>
      <c r="BV2" s="836"/>
      <c r="BW2" s="836"/>
      <c r="BX2" s="836"/>
      <c r="BY2" s="836"/>
      <c r="BZ2" s="836"/>
      <c r="CA2" s="836"/>
      <c r="CB2" s="836"/>
      <c r="CC2" s="836"/>
      <c r="CD2" s="836"/>
      <c r="CE2" s="836"/>
      <c r="CF2" s="836"/>
      <c r="CG2" s="836"/>
      <c r="CH2" s="836"/>
      <c r="CI2" s="836"/>
      <c r="CJ2" s="836"/>
      <c r="CK2" s="836"/>
      <c r="CL2" s="836"/>
      <c r="CM2" s="836"/>
      <c r="CN2" s="836"/>
      <c r="CO2" s="836"/>
      <c r="CP2" s="836"/>
      <c r="CQ2" s="836"/>
      <c r="CR2" s="836"/>
      <c r="CS2" s="836"/>
      <c r="CT2" s="836"/>
      <c r="CU2" s="836"/>
      <c r="CV2" s="836"/>
      <c r="CW2" s="836"/>
      <c r="CX2" s="836"/>
      <c r="CY2" s="836"/>
      <c r="CZ2" s="836"/>
      <c r="DA2" s="836"/>
      <c r="DB2" s="836"/>
      <c r="DC2" s="836"/>
      <c r="DD2" s="836"/>
      <c r="DE2" s="836"/>
      <c r="DF2" s="836"/>
      <c r="DG2" s="836"/>
      <c r="DH2" s="836"/>
      <c r="DI2" s="836"/>
      <c r="DJ2" s="836"/>
      <c r="DK2" s="836"/>
      <c r="DL2" s="836"/>
      <c r="DM2" s="836"/>
      <c r="DN2" s="836"/>
      <c r="DO2" s="836"/>
      <c r="DP2" s="836"/>
      <c r="DQ2" s="836"/>
      <c r="DR2" s="836"/>
      <c r="DS2" s="836"/>
      <c r="DT2" s="836"/>
      <c r="DU2" s="836"/>
      <c r="DV2" s="836"/>
      <c r="DW2" s="836"/>
      <c r="DX2" s="836"/>
      <c r="DY2" s="836"/>
      <c r="DZ2" s="836"/>
      <c r="EA2" s="836"/>
      <c r="EB2" s="836"/>
      <c r="EC2" s="836"/>
      <c r="ED2" s="836"/>
      <c r="EE2" s="836"/>
      <c r="EF2" s="836"/>
      <c r="EG2" s="836"/>
      <c r="EH2" s="836"/>
      <c r="EI2" s="836"/>
      <c r="EJ2" s="836"/>
      <c r="EK2" s="836"/>
      <c r="EL2" s="836"/>
      <c r="EM2" s="836"/>
      <c r="EN2" s="836"/>
      <c r="EO2" s="836"/>
      <c r="EP2" s="836"/>
      <c r="EQ2" s="836"/>
      <c r="ER2" s="836"/>
      <c r="ES2" s="836"/>
      <c r="ET2" s="836"/>
      <c r="EU2" s="836"/>
      <c r="EV2" s="836"/>
      <c r="EW2" s="836"/>
      <c r="EX2" s="836"/>
      <c r="EY2" s="836"/>
      <c r="EZ2" s="836"/>
      <c r="FA2" s="836"/>
      <c r="FB2" s="836"/>
      <c r="FC2" s="836"/>
      <c r="FD2" s="836"/>
      <c r="FE2" s="836"/>
      <c r="FF2" s="836"/>
      <c r="FG2" s="836"/>
      <c r="FH2" s="836"/>
      <c r="FI2" s="836"/>
      <c r="FJ2" s="836"/>
      <c r="FK2" s="836"/>
      <c r="FL2" s="836"/>
      <c r="FM2" s="836"/>
      <c r="FN2" s="836"/>
      <c r="FO2" s="836"/>
      <c r="FP2" s="836"/>
      <c r="FQ2" s="836"/>
      <c r="FR2" s="836"/>
      <c r="FS2" s="836"/>
      <c r="FT2" s="836"/>
      <c r="FU2" s="836"/>
      <c r="FV2" s="836"/>
      <c r="FW2" s="836"/>
    </row>
    <row r="3" spans="2:180" s="2030" customFormat="1" ht="12" hidden="1" customHeight="1">
      <c r="B3" s="835"/>
      <c r="C3" s="836"/>
      <c r="D3" s="836"/>
      <c r="E3" s="836"/>
      <c r="F3" s="836"/>
      <c r="G3" s="836"/>
      <c r="H3" s="836"/>
      <c r="I3" s="836"/>
      <c r="J3" s="836"/>
      <c r="K3" s="836"/>
      <c r="L3" s="836"/>
      <c r="M3" s="836"/>
      <c r="N3" s="836"/>
      <c r="O3" s="836"/>
      <c r="P3" s="836"/>
      <c r="Q3" s="836"/>
      <c r="R3" s="836"/>
      <c r="S3" s="836"/>
      <c r="T3" s="836"/>
      <c r="U3" s="836"/>
      <c r="V3" s="836"/>
      <c r="W3" s="836"/>
      <c r="X3" s="836"/>
      <c r="Y3" s="836"/>
      <c r="Z3" s="836"/>
      <c r="AA3" s="836"/>
      <c r="AB3" s="837"/>
      <c r="AC3" s="836"/>
      <c r="AD3" s="836"/>
      <c r="AE3" s="836"/>
      <c r="AF3" s="836"/>
      <c r="AG3" s="836"/>
      <c r="AH3" s="836"/>
      <c r="AI3" s="836"/>
      <c r="AJ3" s="836"/>
      <c r="AK3" s="836"/>
      <c r="AL3" s="836"/>
      <c r="AM3" s="836"/>
      <c r="AN3" s="836"/>
      <c r="AO3" s="836"/>
      <c r="AP3" s="836"/>
      <c r="AQ3" s="836"/>
      <c r="AR3" s="836"/>
      <c r="AS3" s="836"/>
      <c r="AT3" s="836"/>
      <c r="AU3" s="836"/>
      <c r="AV3" s="836"/>
      <c r="AW3" s="836"/>
      <c r="AX3" s="836"/>
      <c r="AY3" s="836"/>
      <c r="AZ3" s="836"/>
      <c r="BA3" s="836"/>
      <c r="BB3" s="836"/>
      <c r="BC3" s="836"/>
      <c r="BD3" s="836"/>
      <c r="BE3" s="836"/>
      <c r="BF3" s="836"/>
      <c r="BG3" s="836"/>
      <c r="BH3" s="836"/>
      <c r="BI3" s="836"/>
      <c r="BJ3" s="836"/>
      <c r="BK3" s="836"/>
      <c r="BL3" s="836"/>
      <c r="BM3" s="836"/>
      <c r="BN3" s="836"/>
      <c r="BO3" s="836"/>
      <c r="BP3" s="836"/>
      <c r="BQ3" s="836"/>
      <c r="BR3" s="836"/>
      <c r="BS3" s="836"/>
      <c r="BT3" s="836"/>
      <c r="BU3" s="836"/>
      <c r="BV3" s="836"/>
      <c r="BW3" s="836"/>
      <c r="BX3" s="836"/>
      <c r="BY3" s="836"/>
      <c r="BZ3" s="836"/>
      <c r="CA3" s="836"/>
      <c r="CB3" s="836"/>
      <c r="CC3" s="836"/>
      <c r="CD3" s="836"/>
      <c r="CE3" s="836"/>
      <c r="CF3" s="836"/>
      <c r="CG3" s="836"/>
      <c r="CH3" s="836"/>
      <c r="CI3" s="836"/>
      <c r="CJ3" s="836"/>
      <c r="CK3" s="836"/>
      <c r="CL3" s="836"/>
      <c r="CM3" s="836"/>
      <c r="CN3" s="836"/>
      <c r="CO3" s="836"/>
      <c r="CP3" s="836"/>
      <c r="CQ3" s="836"/>
      <c r="CR3" s="836"/>
      <c r="CS3" s="836"/>
      <c r="CT3" s="836"/>
      <c r="CU3" s="836"/>
      <c r="CV3" s="836"/>
      <c r="CW3" s="836"/>
      <c r="CX3" s="836"/>
      <c r="CY3" s="836"/>
      <c r="CZ3" s="836"/>
      <c r="DA3" s="836"/>
      <c r="DB3" s="836"/>
      <c r="DC3" s="836"/>
      <c r="DD3" s="836"/>
      <c r="DE3" s="836"/>
      <c r="DF3" s="836"/>
      <c r="DG3" s="836"/>
      <c r="DH3" s="836"/>
      <c r="DI3" s="836"/>
      <c r="DJ3" s="836"/>
      <c r="DK3" s="836"/>
      <c r="DL3" s="836"/>
      <c r="DM3" s="836"/>
      <c r="DN3" s="836"/>
      <c r="DO3" s="836"/>
      <c r="DP3" s="836"/>
      <c r="DQ3" s="836"/>
      <c r="DR3" s="836"/>
      <c r="DS3" s="836"/>
      <c r="DT3" s="836"/>
      <c r="DU3" s="836"/>
      <c r="DV3" s="836"/>
      <c r="DW3" s="836"/>
      <c r="DX3" s="836"/>
      <c r="DY3" s="836"/>
      <c r="DZ3" s="836"/>
      <c r="EA3" s="836"/>
      <c r="EB3" s="836"/>
      <c r="EC3" s="836"/>
      <c r="ED3" s="836"/>
      <c r="EE3" s="836"/>
      <c r="EF3" s="836"/>
      <c r="EG3" s="836"/>
      <c r="EH3" s="836"/>
      <c r="EI3" s="836"/>
      <c r="EJ3" s="836"/>
      <c r="EK3" s="836"/>
      <c r="EL3" s="836"/>
      <c r="EM3" s="836"/>
      <c r="EN3" s="836"/>
      <c r="EO3" s="836"/>
      <c r="EP3" s="836"/>
      <c r="EQ3" s="836"/>
      <c r="ER3" s="836"/>
      <c r="ES3" s="836"/>
      <c r="ET3" s="836"/>
      <c r="EU3" s="836"/>
      <c r="EV3" s="836"/>
      <c r="EW3" s="836"/>
      <c r="EX3" s="836"/>
      <c r="EY3" s="836"/>
      <c r="EZ3" s="836"/>
      <c r="FA3" s="836"/>
      <c r="FB3" s="836"/>
      <c r="FC3" s="836"/>
      <c r="FD3" s="836"/>
      <c r="FE3" s="836"/>
      <c r="FF3" s="836"/>
      <c r="FG3" s="836"/>
      <c r="FH3" s="836"/>
      <c r="FI3" s="836"/>
      <c r="FJ3" s="836"/>
      <c r="FK3" s="836"/>
      <c r="FL3" s="836"/>
      <c r="FM3" s="836"/>
      <c r="FN3" s="836"/>
      <c r="FO3" s="836"/>
      <c r="FP3" s="836"/>
      <c r="FQ3" s="836"/>
      <c r="FR3" s="836"/>
      <c r="FS3" s="836"/>
      <c r="FT3" s="836"/>
      <c r="FU3" s="836"/>
      <c r="FV3" s="836"/>
      <c r="FW3" s="836"/>
    </row>
    <row r="4" spans="2:180" ht="10.5" customHeight="1">
      <c r="B4" s="838"/>
      <c r="C4" s="839"/>
      <c r="D4" s="839"/>
      <c r="E4" s="839"/>
      <c r="F4" s="839"/>
      <c r="G4" s="839"/>
      <c r="H4" s="840"/>
      <c r="I4" s="840"/>
      <c r="J4" s="840"/>
      <c r="K4" s="840"/>
      <c r="L4" s="840"/>
      <c r="M4" s="841"/>
      <c r="N4" s="841"/>
      <c r="O4" s="841"/>
      <c r="P4" s="841"/>
      <c r="Q4" s="841"/>
      <c r="R4" s="841"/>
      <c r="S4" s="841"/>
      <c r="T4" s="841"/>
      <c r="U4" s="841"/>
      <c r="V4" s="841"/>
      <c r="W4" s="841"/>
      <c r="X4" s="841"/>
      <c r="Y4" s="841"/>
      <c r="Z4" s="841"/>
      <c r="AA4" s="841"/>
      <c r="AB4" s="841"/>
      <c r="AC4" s="841"/>
      <c r="AD4" s="841"/>
      <c r="AE4" s="841"/>
      <c r="AF4" s="841"/>
      <c r="AG4" s="841"/>
      <c r="AH4" s="841"/>
      <c r="AI4" s="841"/>
      <c r="AJ4" s="841"/>
      <c r="AK4" s="841"/>
      <c r="AL4" s="841"/>
      <c r="AM4" s="841"/>
      <c r="AN4" s="841"/>
      <c r="AO4" s="841"/>
      <c r="AP4" s="841"/>
      <c r="AQ4" s="841"/>
      <c r="AR4" s="841"/>
      <c r="AS4" s="841"/>
      <c r="AT4" s="841"/>
      <c r="AU4" s="841"/>
      <c r="AV4" s="841"/>
      <c r="AW4" s="841"/>
      <c r="AX4" s="841"/>
      <c r="AY4" s="841"/>
      <c r="AZ4" s="841"/>
      <c r="BA4" s="841"/>
      <c r="BB4" s="841"/>
      <c r="BC4" s="841"/>
      <c r="BD4" s="841"/>
      <c r="BE4" s="841"/>
      <c r="BF4" s="841"/>
      <c r="BG4" s="841"/>
      <c r="BH4" s="841"/>
      <c r="BI4" s="841"/>
      <c r="BJ4" s="841"/>
      <c r="BK4" s="841"/>
      <c r="BL4" s="841"/>
      <c r="BM4" s="841"/>
      <c r="BN4" s="841"/>
      <c r="BO4" s="841"/>
      <c r="BP4" s="841"/>
      <c r="BQ4" s="841"/>
      <c r="BR4" s="841"/>
      <c r="BS4" s="841"/>
      <c r="BT4" s="841"/>
      <c r="BU4" s="841"/>
      <c r="BV4" s="841"/>
      <c r="BW4" s="841"/>
      <c r="BX4" s="841"/>
      <c r="BY4" s="841"/>
      <c r="BZ4" s="841"/>
      <c r="CA4" s="841"/>
      <c r="CB4" s="841"/>
      <c r="CC4" s="841"/>
      <c r="CD4" s="841"/>
      <c r="CE4" s="841"/>
      <c r="CF4" s="841"/>
      <c r="CG4" s="841"/>
      <c r="CH4" s="841"/>
      <c r="CI4" s="841"/>
      <c r="CJ4" s="841"/>
      <c r="CK4" s="841"/>
      <c r="CL4" s="841"/>
      <c r="CM4" s="841"/>
      <c r="CN4" s="841"/>
      <c r="CO4" s="841"/>
      <c r="CP4" s="841"/>
      <c r="CQ4" s="841"/>
      <c r="CR4" s="841"/>
      <c r="CS4" s="841"/>
      <c r="CT4" s="841"/>
      <c r="CU4" s="841"/>
      <c r="CV4" s="841"/>
      <c r="CW4" s="841"/>
      <c r="CX4" s="841"/>
      <c r="CY4" s="841"/>
      <c r="CZ4" s="841"/>
      <c r="DA4" s="841"/>
      <c r="DB4" s="841"/>
      <c r="DC4" s="841"/>
      <c r="DD4" s="841"/>
      <c r="DE4" s="841"/>
      <c r="DF4" s="841"/>
      <c r="DG4" s="841"/>
      <c r="DH4" s="841"/>
      <c r="DI4" s="841"/>
      <c r="DJ4" s="841"/>
      <c r="DK4" s="841"/>
      <c r="DL4" s="841"/>
      <c r="DM4" s="841"/>
      <c r="DN4" s="841"/>
      <c r="DO4" s="841"/>
      <c r="DP4" s="841"/>
      <c r="DQ4" s="841"/>
      <c r="DR4" s="841"/>
      <c r="DS4" s="841"/>
      <c r="DT4" s="841"/>
      <c r="DU4" s="841"/>
      <c r="DV4" s="841"/>
      <c r="DW4" s="841"/>
      <c r="DX4" s="841"/>
      <c r="DY4" s="841"/>
      <c r="DZ4" s="841"/>
      <c r="EA4" s="841"/>
      <c r="EB4" s="841"/>
      <c r="EC4" s="841"/>
      <c r="ED4" s="841"/>
      <c r="EE4" s="841"/>
      <c r="EF4" s="841"/>
      <c r="EG4" s="841"/>
      <c r="EH4" s="841"/>
      <c r="EI4" s="841"/>
      <c r="EJ4" s="841"/>
      <c r="EK4" s="841"/>
      <c r="EL4" s="841"/>
      <c r="EM4" s="841"/>
      <c r="EN4" s="841"/>
      <c r="EO4" s="841"/>
      <c r="EP4" s="841"/>
      <c r="EQ4" s="841"/>
      <c r="ER4" s="841"/>
      <c r="ES4" s="841"/>
      <c r="ET4" s="841"/>
      <c r="EU4" s="841"/>
      <c r="EV4" s="841"/>
      <c r="EW4" s="841"/>
      <c r="EX4" s="841"/>
      <c r="EY4" s="841"/>
      <c r="EZ4" s="841"/>
      <c r="FA4" s="841"/>
      <c r="FB4" s="841"/>
      <c r="FC4" s="841"/>
      <c r="FD4" s="841"/>
      <c r="FE4" s="841"/>
      <c r="FF4" s="841"/>
      <c r="FG4" s="841"/>
      <c r="FH4" s="841"/>
      <c r="FI4" s="841"/>
      <c r="FJ4" s="841"/>
      <c r="FK4" s="841"/>
      <c r="FL4" s="841"/>
      <c r="FM4" s="841"/>
      <c r="FN4" s="841"/>
      <c r="FO4" s="841"/>
      <c r="FP4" s="841"/>
      <c r="FQ4" s="841"/>
      <c r="FR4" s="841"/>
      <c r="FS4" s="841"/>
      <c r="FT4" s="841"/>
      <c r="FU4" s="841"/>
      <c r="FV4" s="841"/>
      <c r="FW4" s="841"/>
    </row>
    <row r="5" spans="2:180" s="2032" customFormat="1" ht="25.5" customHeight="1">
      <c r="B5" s="1782"/>
      <c r="E5" s="1783"/>
      <c r="F5" s="2390"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 на  год</v>
      </c>
      <c r="G5" s="2185"/>
      <c r="H5" s="2185"/>
      <c r="I5" s="2185"/>
      <c r="J5" s="2185"/>
      <c r="K5" s="2185"/>
      <c r="L5" s="2185"/>
      <c r="M5" s="2185"/>
      <c r="N5" s="2185"/>
      <c r="O5" s="2185"/>
      <c r="P5" s="2185"/>
      <c r="Q5" s="2185"/>
      <c r="R5" s="2185"/>
      <c r="S5" s="2185"/>
      <c r="T5" s="2185"/>
      <c r="U5" s="2185"/>
      <c r="V5" s="2185"/>
      <c r="W5" s="2185"/>
      <c r="X5" s="2185"/>
      <c r="Y5" s="2185"/>
      <c r="Z5" s="2185"/>
      <c r="AA5" s="2185"/>
      <c r="AB5" s="2185"/>
      <c r="AC5" s="2185"/>
      <c r="AD5" s="2185"/>
      <c r="AE5" s="2185"/>
      <c r="AF5" s="2185"/>
      <c r="AG5" s="2185"/>
      <c r="AH5" s="2185"/>
      <c r="AI5" s="2185"/>
      <c r="AJ5" s="2185"/>
      <c r="AK5" s="2185"/>
      <c r="AL5" s="2185"/>
      <c r="AM5" s="2185"/>
      <c r="AN5" s="2185"/>
      <c r="AO5" s="2185"/>
      <c r="AP5" s="2185"/>
      <c r="AQ5" s="2185"/>
      <c r="AR5" s="2185"/>
      <c r="AS5" s="2185"/>
      <c r="AT5" s="2185"/>
      <c r="AU5" s="2185"/>
      <c r="AV5" s="2185"/>
      <c r="AW5" s="2185"/>
      <c r="AX5" s="2185"/>
      <c r="AY5" s="2185"/>
      <c r="AZ5" s="2185"/>
      <c r="BA5" s="2185"/>
      <c r="BB5" s="2185"/>
      <c r="BC5" s="2185"/>
      <c r="BD5" s="2185"/>
      <c r="BE5" s="2185"/>
      <c r="BF5" s="2185"/>
      <c r="BG5" s="2185"/>
      <c r="BH5" s="2185"/>
      <c r="BI5" s="2185"/>
      <c r="BJ5" s="2185"/>
      <c r="BK5" s="2185"/>
      <c r="BL5" s="2185"/>
      <c r="BM5" s="2185"/>
      <c r="BN5" s="2185"/>
      <c r="BO5" s="2185"/>
      <c r="BP5" s="2185"/>
      <c r="BQ5" s="2185"/>
      <c r="BR5" s="2185"/>
      <c r="BS5" s="2185"/>
    </row>
    <row r="6" spans="2:180" s="2033" customFormat="1" ht="18" customHeight="1">
      <c r="B6" s="853"/>
      <c r="E6" s="854"/>
      <c r="F6" s="2234" t="str">
        <f>IF(org=0,"Не определено",org)</f>
        <v>ПАО "Юнипро"</v>
      </c>
      <c r="G6" s="2235"/>
      <c r="H6" s="2235"/>
      <c r="I6" s="2235"/>
      <c r="J6" s="2235"/>
      <c r="K6" s="2235"/>
      <c r="L6" s="2235"/>
      <c r="M6" s="2235"/>
      <c r="N6" s="2235"/>
      <c r="O6" s="2235"/>
      <c r="P6" s="2235"/>
      <c r="Q6" s="2235"/>
      <c r="R6" s="2235"/>
      <c r="S6" s="2235"/>
      <c r="T6" s="2235"/>
      <c r="U6" s="2235"/>
      <c r="V6" s="2235"/>
      <c r="W6" s="2235"/>
      <c r="X6" s="2235"/>
      <c r="Y6" s="2235"/>
      <c r="Z6" s="2235"/>
      <c r="AA6" s="2235"/>
      <c r="AB6" s="2235"/>
      <c r="AC6" s="2235"/>
      <c r="AD6" s="2235"/>
      <c r="AE6" s="2235"/>
      <c r="AF6" s="2235"/>
      <c r="AG6" s="2235"/>
      <c r="AH6" s="2235"/>
      <c r="AI6" s="2235"/>
      <c r="AJ6" s="2235"/>
      <c r="AK6" s="2235"/>
      <c r="AL6" s="2235"/>
      <c r="AM6" s="2235"/>
      <c r="AN6" s="2235"/>
      <c r="AO6" s="2235"/>
      <c r="AP6" s="2235"/>
      <c r="AQ6" s="2235"/>
      <c r="AR6" s="2235"/>
      <c r="AS6" s="2235"/>
      <c r="AT6" s="2235"/>
      <c r="AU6" s="2235"/>
      <c r="AV6" s="2235"/>
      <c r="AW6" s="2235"/>
      <c r="AX6" s="2235"/>
      <c r="AY6" s="2235"/>
      <c r="AZ6" s="2235"/>
      <c r="BA6" s="2235"/>
      <c r="BB6" s="2235"/>
      <c r="BC6" s="2235"/>
      <c r="BD6" s="2235"/>
      <c r="BE6" s="2235"/>
      <c r="BF6" s="2235"/>
      <c r="BG6" s="2235"/>
      <c r="BH6" s="2235"/>
      <c r="BI6" s="2235"/>
      <c r="BJ6" s="2235"/>
      <c r="BK6" s="2235"/>
      <c r="BL6" s="2235"/>
      <c r="BM6" s="2235"/>
      <c r="BN6" s="2235"/>
      <c r="BO6" s="2235"/>
      <c r="BP6" s="2235"/>
      <c r="BQ6" s="2235"/>
      <c r="BR6" s="2235"/>
      <c r="BS6" s="2235"/>
    </row>
    <row r="7" spans="2:180" s="2034" customFormat="1" ht="10.5" customHeight="1">
      <c r="B7" s="842"/>
      <c r="E7" s="843"/>
      <c r="F7" s="843"/>
      <c r="G7" s="845"/>
      <c r="H7" s="840"/>
      <c r="I7" s="840"/>
      <c r="J7" s="840"/>
      <c r="K7" s="840"/>
      <c r="L7" s="840"/>
      <c r="M7" s="843"/>
      <c r="N7" s="843"/>
      <c r="O7" s="843"/>
      <c r="P7" s="843"/>
      <c r="Q7" s="843"/>
      <c r="R7" s="843"/>
      <c r="S7" s="843"/>
      <c r="T7" s="843"/>
      <c r="U7" s="843"/>
      <c r="V7" s="843"/>
      <c r="W7" s="843"/>
      <c r="X7" s="843"/>
      <c r="Y7" s="843"/>
      <c r="Z7" s="843"/>
      <c r="AA7" s="843"/>
      <c r="AB7" s="843"/>
      <c r="AC7" s="843"/>
      <c r="AD7" s="843"/>
      <c r="AE7" s="843"/>
      <c r="AF7" s="843"/>
      <c r="AG7" s="843"/>
      <c r="AH7" s="843"/>
      <c r="AI7" s="843"/>
      <c r="AJ7" s="843"/>
      <c r="AK7" s="843"/>
      <c r="AL7" s="843"/>
      <c r="AM7" s="843"/>
      <c r="AN7" s="843"/>
      <c r="AO7" s="843"/>
      <c r="AP7" s="843"/>
      <c r="AQ7" s="843"/>
      <c r="AR7" s="843"/>
      <c r="AS7" s="843"/>
      <c r="AT7" s="843"/>
      <c r="AU7" s="843"/>
      <c r="AV7" s="843"/>
      <c r="AW7" s="843"/>
      <c r="AX7" s="843"/>
      <c r="AY7" s="843"/>
      <c r="AZ7" s="843"/>
      <c r="BA7" s="843"/>
      <c r="BB7" s="843"/>
      <c r="BC7" s="843"/>
      <c r="BD7" s="843"/>
      <c r="BE7" s="843"/>
      <c r="BF7" s="843"/>
      <c r="BG7" s="843"/>
      <c r="BH7" s="843"/>
      <c r="BI7" s="843"/>
      <c r="BJ7" s="843"/>
      <c r="BK7" s="843"/>
      <c r="BL7" s="843"/>
      <c r="BM7" s="843"/>
      <c r="BN7" s="843"/>
      <c r="BO7" s="843"/>
      <c r="BP7" s="843"/>
      <c r="BQ7" s="843"/>
      <c r="BR7" s="843"/>
      <c r="BS7" s="843"/>
      <c r="BT7" s="843"/>
      <c r="BU7" s="843"/>
      <c r="BV7" s="843"/>
      <c r="BW7" s="843"/>
      <c r="BX7" s="843"/>
      <c r="BY7" s="843"/>
      <c r="BZ7" s="843"/>
      <c r="CA7" s="843"/>
      <c r="CB7" s="843"/>
      <c r="CC7" s="843"/>
      <c r="CD7" s="843"/>
      <c r="CE7" s="843"/>
      <c r="CF7" s="843"/>
      <c r="CG7" s="843"/>
      <c r="CH7" s="843"/>
      <c r="CI7" s="843"/>
      <c r="CJ7" s="843"/>
      <c r="CK7" s="843"/>
      <c r="CL7" s="843"/>
      <c r="CM7" s="843"/>
      <c r="CN7" s="843"/>
      <c r="CO7" s="843"/>
      <c r="CP7" s="843"/>
      <c r="CQ7" s="843"/>
      <c r="CR7" s="843"/>
      <c r="CS7" s="843"/>
      <c r="CT7" s="843"/>
      <c r="CU7" s="843"/>
      <c r="CV7" s="843"/>
      <c r="CW7" s="843"/>
      <c r="CX7" s="843"/>
      <c r="CY7" s="843"/>
      <c r="CZ7" s="843"/>
      <c r="DA7" s="843"/>
      <c r="DB7" s="843"/>
      <c r="DC7" s="843"/>
      <c r="DD7" s="843"/>
      <c r="DE7" s="843"/>
      <c r="DF7" s="843"/>
      <c r="DG7" s="843"/>
      <c r="DH7" s="843"/>
      <c r="DI7" s="843"/>
      <c r="DJ7" s="843"/>
      <c r="DK7" s="843"/>
      <c r="DL7" s="843"/>
      <c r="DM7" s="843"/>
      <c r="DN7" s="843"/>
      <c r="DO7" s="843"/>
      <c r="DP7" s="843"/>
      <c r="DQ7" s="843"/>
      <c r="DR7" s="843"/>
      <c r="DS7" s="843"/>
      <c r="DT7" s="843"/>
      <c r="DU7" s="843"/>
      <c r="DV7" s="843"/>
      <c r="DW7" s="843"/>
      <c r="DX7" s="843"/>
      <c r="DY7" s="843"/>
      <c r="DZ7" s="843"/>
      <c r="EA7" s="843"/>
      <c r="EB7" s="843"/>
      <c r="EC7" s="843"/>
      <c r="ED7" s="843"/>
      <c r="EE7" s="843"/>
      <c r="EF7" s="843"/>
      <c r="EG7" s="843"/>
      <c r="EH7" s="843"/>
      <c r="EI7" s="843"/>
      <c r="EJ7" s="843"/>
      <c r="EK7" s="843"/>
      <c r="EL7" s="843"/>
      <c r="EM7" s="843"/>
      <c r="EN7" s="843"/>
      <c r="EO7" s="843"/>
      <c r="EP7" s="843"/>
      <c r="EQ7" s="843"/>
      <c r="ER7" s="843"/>
      <c r="ES7" s="843"/>
      <c r="ET7" s="843"/>
      <c r="EU7" s="843"/>
      <c r="EV7" s="843"/>
      <c r="EW7" s="843"/>
      <c r="EX7" s="843"/>
      <c r="EY7" s="843"/>
      <c r="EZ7" s="843"/>
      <c r="FA7" s="843"/>
      <c r="FB7" s="843"/>
      <c r="FC7" s="843"/>
      <c r="FD7" s="843"/>
      <c r="FE7" s="843"/>
      <c r="FF7" s="843"/>
      <c r="FG7" s="843"/>
      <c r="FH7" s="843"/>
      <c r="FI7" s="843"/>
      <c r="FJ7" s="843"/>
      <c r="FK7" s="843"/>
      <c r="FL7" s="843"/>
      <c r="FM7" s="843"/>
      <c r="FN7" s="843"/>
      <c r="FO7" s="843"/>
      <c r="FP7" s="843"/>
      <c r="FQ7" s="843"/>
      <c r="FR7" s="843"/>
      <c r="FS7" s="843"/>
      <c r="FT7" s="843"/>
      <c r="FU7" s="843"/>
      <c r="FV7" s="843"/>
      <c r="FW7" s="843"/>
    </row>
    <row r="8" spans="2:180" s="2035" customFormat="1" ht="11.25" hidden="1" customHeight="1">
      <c r="B8" s="844"/>
      <c r="F8" s="963"/>
      <c r="G8" s="680"/>
      <c r="H8" s="285"/>
      <c r="I8" s="285"/>
      <c r="J8" s="285"/>
      <c r="K8" s="285"/>
      <c r="L8" s="285"/>
      <c r="M8" s="963"/>
      <c r="N8" s="963"/>
      <c r="O8" s="2408" t="s">
        <v>970</v>
      </c>
      <c r="P8" s="2409"/>
      <c r="Q8" s="2409"/>
      <c r="R8" s="2409"/>
      <c r="S8" s="2409"/>
      <c r="T8" s="2409"/>
      <c r="U8" s="2409"/>
      <c r="V8" s="2409"/>
      <c r="W8" s="2409"/>
      <c r="X8" s="2409"/>
      <c r="Y8" s="2409"/>
      <c r="Z8" s="2409"/>
      <c r="AA8" s="2409"/>
      <c r="AB8" s="2409"/>
      <c r="AC8" s="2409"/>
      <c r="AD8" s="2409"/>
      <c r="AE8" s="2409"/>
      <c r="AF8" s="2409"/>
      <c r="AG8" s="2409"/>
      <c r="AH8" s="2409"/>
      <c r="AI8" s="2409"/>
      <c r="AJ8" s="2409"/>
      <c r="AK8" s="2409"/>
      <c r="AL8" s="2409"/>
      <c r="AM8" s="2409"/>
      <c r="AN8" s="2409"/>
      <c r="AO8" s="2409"/>
      <c r="AP8" s="2409"/>
      <c r="AQ8" s="2409"/>
      <c r="AR8" s="2409"/>
      <c r="AS8" s="2409"/>
      <c r="AT8" s="2409"/>
      <c r="AU8" s="2409"/>
      <c r="AV8" s="2409"/>
      <c r="AW8" s="2409"/>
      <c r="AX8" s="2409"/>
      <c r="AY8" s="2409"/>
      <c r="AZ8" s="2409"/>
      <c r="BA8" s="2409"/>
      <c r="BB8" s="2409"/>
      <c r="BC8" s="2409"/>
      <c r="BD8" s="2409"/>
      <c r="BE8" s="2409"/>
      <c r="BF8" s="2409"/>
      <c r="BG8" s="2409"/>
      <c r="BH8" s="2409"/>
      <c r="BI8" s="2409"/>
      <c r="BJ8" s="2409"/>
      <c r="BK8" s="2409"/>
      <c r="BL8" s="2409"/>
      <c r="BM8" s="2409"/>
      <c r="BN8" s="2409"/>
      <c r="BO8" s="2409"/>
      <c r="BP8" s="2409"/>
      <c r="BQ8" s="2409"/>
      <c r="BR8" s="2409"/>
      <c r="BS8" s="2410"/>
      <c r="BT8" s="2397"/>
      <c r="BU8" s="2398"/>
      <c r="BV8" s="2398"/>
      <c r="BW8" s="2398"/>
      <c r="BX8" s="2398"/>
      <c r="BY8" s="2398"/>
      <c r="BZ8" s="2398"/>
      <c r="CA8" s="2398"/>
      <c r="CB8" s="2398"/>
      <c r="CC8" s="2398"/>
      <c r="CD8" s="2398"/>
      <c r="CE8" s="2398"/>
      <c r="CF8" s="2398"/>
      <c r="CG8" s="2398"/>
      <c r="CH8" s="2398"/>
      <c r="CI8" s="2398"/>
      <c r="CJ8" s="2398"/>
      <c r="CK8" s="2398"/>
      <c r="CL8" s="2398"/>
      <c r="CM8" s="2398"/>
      <c r="CN8" s="2398"/>
      <c r="CO8" s="2398"/>
      <c r="CP8" s="2398"/>
      <c r="CQ8" s="2398"/>
      <c r="CR8" s="2398"/>
      <c r="CS8" s="2398"/>
      <c r="CT8" s="2398"/>
      <c r="CU8" s="2398"/>
      <c r="CV8" s="2398"/>
      <c r="CW8" s="2398"/>
      <c r="CX8" s="2399"/>
      <c r="CY8" s="2400"/>
      <c r="CZ8" s="2401"/>
      <c r="DA8" s="2401"/>
      <c r="DB8" s="2401"/>
      <c r="DC8" s="2401"/>
      <c r="DD8" s="2401"/>
      <c r="DE8" s="2401"/>
      <c r="DF8" s="2401"/>
      <c r="DG8" s="2401"/>
      <c r="DH8" s="2401"/>
      <c r="DI8" s="2401"/>
      <c r="DJ8" s="2401"/>
      <c r="DK8" s="2401"/>
      <c r="DL8" s="2401"/>
      <c r="DM8" s="2401"/>
      <c r="DN8" s="2401"/>
      <c r="DO8" s="2401"/>
      <c r="DP8" s="2401"/>
      <c r="DQ8" s="2401"/>
      <c r="DR8" s="2401"/>
      <c r="DS8" s="2401"/>
      <c r="DT8" s="2401"/>
      <c r="DU8" s="2401"/>
      <c r="DV8" s="2401"/>
      <c r="DW8" s="2401"/>
      <c r="DX8" s="2402"/>
      <c r="DY8" s="2403" t="s">
        <v>971</v>
      </c>
      <c r="DZ8" s="2404"/>
      <c r="EA8" s="2404"/>
      <c r="EB8" s="2404"/>
      <c r="EC8" s="2404"/>
      <c r="ED8" s="2404"/>
      <c r="EE8" s="2404"/>
      <c r="EF8" s="2404"/>
      <c r="EG8" s="2404"/>
      <c r="EH8" s="2404"/>
      <c r="EI8" s="2404"/>
      <c r="EJ8" s="2404"/>
      <c r="EK8" s="2404"/>
      <c r="EL8" s="2404"/>
      <c r="EM8" s="2404"/>
      <c r="EN8" s="2404"/>
      <c r="EO8" s="2404"/>
      <c r="EP8" s="2404"/>
      <c r="EQ8" s="2404"/>
      <c r="ER8" s="2404"/>
      <c r="ES8" s="2404"/>
      <c r="ET8" s="2404"/>
      <c r="EU8" s="2404"/>
      <c r="EV8" s="2404"/>
      <c r="EW8" s="2404"/>
      <c r="EX8" s="2404"/>
      <c r="EY8" s="2404"/>
      <c r="EZ8" s="2404"/>
      <c r="FA8" s="2404"/>
      <c r="FB8" s="2404"/>
      <c r="FC8" s="2404"/>
      <c r="FD8" s="2404"/>
      <c r="FE8" s="2404"/>
      <c r="FF8" s="2404"/>
      <c r="FG8" s="2404"/>
      <c r="FH8" s="2404"/>
      <c r="FI8" s="2404"/>
      <c r="FJ8" s="2404"/>
      <c r="FK8" s="2404"/>
      <c r="FL8" s="2404"/>
      <c r="FM8" s="2404"/>
      <c r="FN8" s="2404"/>
      <c r="FO8" s="2404"/>
      <c r="FP8" s="2404"/>
      <c r="FQ8" s="2404"/>
      <c r="FR8" s="2404"/>
      <c r="FS8" s="2404"/>
      <c r="FT8" s="2404"/>
      <c r="FU8" s="2404"/>
      <c r="FV8" s="2404"/>
      <c r="FW8" s="2405"/>
      <c r="FX8" s="963"/>
    </row>
    <row r="9" spans="2:180" s="2035" customFormat="1" ht="11.25" hidden="1" customHeight="1">
      <c r="B9" s="844"/>
      <c r="F9" s="963"/>
      <c r="G9" s="680"/>
      <c r="H9" s="285"/>
      <c r="I9" s="285"/>
      <c r="J9" s="285"/>
      <c r="K9" s="285"/>
      <c r="L9" s="285"/>
      <c r="M9" s="963"/>
      <c r="N9" s="963"/>
      <c r="O9" s="963"/>
      <c r="P9" s="963"/>
      <c r="Q9" s="963"/>
      <c r="R9" s="963"/>
      <c r="S9" s="963"/>
      <c r="T9" s="963"/>
      <c r="U9" s="963"/>
      <c r="V9" s="963"/>
      <c r="W9" s="963"/>
      <c r="X9" s="963"/>
      <c r="Y9" s="963"/>
      <c r="Z9" s="963"/>
      <c r="AA9" s="963"/>
      <c r="AB9" s="963"/>
      <c r="AC9" s="963"/>
      <c r="AD9" s="963"/>
      <c r="AE9" s="963"/>
      <c r="AF9" s="963"/>
      <c r="AG9" s="963"/>
      <c r="AH9" s="963"/>
      <c r="AI9" s="963"/>
      <c r="AJ9" s="963"/>
      <c r="AK9" s="963"/>
      <c r="AL9" s="963"/>
      <c r="AM9" s="963"/>
      <c r="AN9" s="963"/>
      <c r="AO9" s="963"/>
      <c r="AP9" s="963"/>
      <c r="AQ9" s="963"/>
      <c r="AR9" s="963"/>
      <c r="AS9" s="963"/>
      <c r="AT9" s="963"/>
      <c r="AU9" s="963"/>
      <c r="AV9" s="963"/>
      <c r="AW9" s="963"/>
      <c r="AX9" s="963"/>
      <c r="AY9" s="963"/>
      <c r="AZ9" s="963"/>
      <c r="BA9" s="963"/>
      <c r="BB9" s="963"/>
      <c r="BC9" s="963"/>
      <c r="BD9" s="963"/>
      <c r="BE9" s="963"/>
      <c r="BF9" s="963"/>
      <c r="BG9" s="963"/>
      <c r="BH9" s="963"/>
      <c r="BI9" s="963"/>
      <c r="BJ9" s="963"/>
      <c r="BK9" s="963"/>
      <c r="BL9" s="963"/>
      <c r="BM9" s="963"/>
      <c r="BN9" s="963"/>
      <c r="BO9" s="963"/>
      <c r="BP9" s="963"/>
      <c r="BQ9" s="963"/>
      <c r="BR9" s="963"/>
      <c r="BS9" s="963"/>
      <c r="BT9" s="963"/>
      <c r="BU9" s="963"/>
      <c r="BV9" s="963"/>
      <c r="BW9" s="963"/>
      <c r="BX9" s="963"/>
      <c r="BY9" s="963"/>
      <c r="BZ9" s="963"/>
      <c r="CA9" s="963"/>
      <c r="CB9" s="963"/>
      <c r="CC9" s="963"/>
      <c r="CD9" s="963"/>
      <c r="CE9" s="963"/>
      <c r="CF9" s="963"/>
      <c r="CG9" s="963"/>
      <c r="CH9" s="963"/>
      <c r="CI9" s="963"/>
      <c r="CJ9" s="963"/>
      <c r="CK9" s="963"/>
      <c r="CL9" s="963"/>
      <c r="CM9" s="963"/>
      <c r="CN9" s="963"/>
      <c r="CO9" s="963"/>
      <c r="CP9" s="963"/>
      <c r="CQ9" s="963"/>
      <c r="CR9" s="963"/>
      <c r="CS9" s="963"/>
      <c r="CT9" s="963"/>
      <c r="CU9" s="963"/>
      <c r="CV9" s="963"/>
      <c r="CW9" s="963"/>
      <c r="CX9" s="963"/>
      <c r="CY9" s="963"/>
      <c r="CZ9" s="963"/>
      <c r="DA9" s="963"/>
      <c r="DB9" s="963"/>
      <c r="DC9" s="963"/>
      <c r="DD9" s="963"/>
      <c r="DE9" s="963"/>
      <c r="DF9" s="963"/>
      <c r="DG9" s="963"/>
      <c r="DH9" s="963"/>
      <c r="DI9" s="963"/>
      <c r="DJ9" s="963"/>
      <c r="DK9" s="963"/>
      <c r="DL9" s="963"/>
      <c r="DM9" s="963"/>
      <c r="DN9" s="963"/>
      <c r="DO9" s="963"/>
      <c r="DP9" s="963"/>
      <c r="DQ9" s="963"/>
      <c r="DR9" s="963"/>
      <c r="DS9" s="963"/>
      <c r="DT9" s="963"/>
      <c r="DU9" s="963"/>
      <c r="DV9" s="963"/>
      <c r="DW9" s="963"/>
      <c r="DX9" s="963"/>
      <c r="DY9" s="963"/>
      <c r="DZ9" s="963"/>
      <c r="EA9" s="963"/>
      <c r="EB9" s="963"/>
      <c r="EC9" s="963"/>
      <c r="ED9" s="963"/>
      <c r="EE9" s="963"/>
      <c r="EF9" s="963"/>
      <c r="EG9" s="963"/>
      <c r="EH9" s="963"/>
      <c r="EI9" s="963"/>
      <c r="EJ9" s="963"/>
      <c r="EK9" s="963"/>
      <c r="EL9" s="963"/>
      <c r="EM9" s="963"/>
      <c r="EN9" s="963"/>
      <c r="EO9" s="963"/>
      <c r="EP9" s="963"/>
      <c r="EQ9" s="963"/>
      <c r="ER9" s="963"/>
      <c r="ES9" s="963"/>
      <c r="ET9" s="963"/>
      <c r="EU9" s="963"/>
      <c r="EV9" s="963"/>
      <c r="EW9" s="963"/>
      <c r="EX9" s="963"/>
      <c r="EY9" s="963"/>
      <c r="EZ9" s="963"/>
      <c r="FA9" s="963"/>
      <c r="FB9" s="963"/>
      <c r="FC9" s="963"/>
      <c r="FD9" s="963"/>
      <c r="FE9" s="963"/>
      <c r="FF9" s="963"/>
      <c r="FG9" s="963"/>
      <c r="FH9" s="963"/>
      <c r="FI9" s="963"/>
      <c r="FJ9" s="963"/>
      <c r="FK9" s="963"/>
      <c r="FL9" s="963"/>
      <c r="FM9" s="963"/>
      <c r="FN9" s="963"/>
      <c r="FO9" s="963"/>
      <c r="FP9" s="963"/>
      <c r="FQ9" s="963"/>
      <c r="FR9" s="963"/>
      <c r="FS9" s="963"/>
      <c r="FT9" s="963"/>
      <c r="FU9" s="963"/>
      <c r="FV9" s="963"/>
      <c r="FW9" s="2406"/>
      <c r="FX9" s="963"/>
    </row>
    <row r="10" spans="2:180" s="2035" customFormat="1" ht="11.25" customHeight="1">
      <c r="B10" s="844"/>
      <c r="F10" s="2372" t="s">
        <v>289</v>
      </c>
      <c r="G10" s="2388"/>
      <c r="H10" s="2388"/>
      <c r="I10" s="2388"/>
      <c r="J10" s="2388"/>
      <c r="K10" s="2388"/>
      <c r="L10" s="2388"/>
      <c r="M10" s="2388"/>
      <c r="N10" s="2388"/>
      <c r="O10" s="2388"/>
      <c r="P10" s="2388"/>
      <c r="Q10" s="2388"/>
      <c r="R10" s="2388"/>
      <c r="S10" s="2388"/>
      <c r="T10" s="2388"/>
      <c r="U10" s="2388"/>
      <c r="V10" s="2388"/>
      <c r="W10" s="2388"/>
      <c r="X10" s="2388"/>
      <c r="Y10" s="2388"/>
      <c r="Z10" s="2388"/>
      <c r="AA10" s="2388"/>
      <c r="AB10" s="2388"/>
      <c r="AC10" s="2388"/>
      <c r="AD10" s="2388"/>
      <c r="AE10" s="2388"/>
      <c r="AF10" s="2388"/>
      <c r="AG10" s="2388"/>
      <c r="AH10" s="2388"/>
      <c r="AI10" s="2388"/>
      <c r="AJ10" s="2388"/>
      <c r="AK10" s="2388"/>
      <c r="AL10" s="2388"/>
      <c r="AM10" s="2388"/>
      <c r="AN10" s="2388"/>
      <c r="AO10" s="2388"/>
      <c r="AP10" s="2388"/>
      <c r="AQ10" s="2388"/>
      <c r="AR10" s="2388"/>
      <c r="AS10" s="2388"/>
      <c r="AT10" s="2388"/>
      <c r="AU10" s="2388"/>
      <c r="AV10" s="2388"/>
      <c r="AW10" s="2388"/>
      <c r="AX10" s="2388"/>
      <c r="AY10" s="2388"/>
      <c r="AZ10" s="2388"/>
      <c r="BA10" s="2388"/>
      <c r="BB10" s="2388"/>
      <c r="BC10" s="2388"/>
      <c r="BD10" s="2388"/>
      <c r="BE10" s="2388"/>
      <c r="BF10" s="2388"/>
      <c r="BG10" s="2388"/>
      <c r="BH10" s="2388"/>
      <c r="BI10" s="2388"/>
      <c r="BJ10" s="2388"/>
      <c r="BK10" s="2388"/>
      <c r="BL10" s="2388"/>
      <c r="BM10" s="2388"/>
      <c r="BN10" s="2388"/>
      <c r="BO10" s="2388"/>
      <c r="BP10" s="2388"/>
      <c r="BQ10" s="2388"/>
      <c r="BR10" s="2388"/>
      <c r="BS10" s="2388"/>
      <c r="BT10" s="2388"/>
      <c r="BU10" s="2388"/>
      <c r="BV10" s="2388"/>
      <c r="BW10" s="2388"/>
      <c r="BX10" s="2388"/>
      <c r="BY10" s="2388"/>
      <c r="BZ10" s="2388"/>
      <c r="CA10" s="2388"/>
      <c r="CB10" s="2388"/>
      <c r="CC10" s="2388"/>
      <c r="CD10" s="2388"/>
      <c r="CE10" s="2388"/>
      <c r="CF10" s="2388"/>
      <c r="CG10" s="2388"/>
      <c r="CH10" s="2388"/>
      <c r="CI10" s="2388"/>
      <c r="CJ10" s="2388"/>
      <c r="CK10" s="2388"/>
      <c r="CL10" s="2388"/>
      <c r="CM10" s="2388"/>
      <c r="CN10" s="2388"/>
      <c r="CO10" s="2388"/>
      <c r="CP10" s="2388"/>
      <c r="CQ10" s="2388"/>
      <c r="CR10" s="2388"/>
      <c r="CS10" s="2388"/>
      <c r="CT10" s="2388"/>
      <c r="CU10" s="2388"/>
      <c r="CV10" s="2388"/>
      <c r="CW10" s="2388"/>
      <c r="CX10" s="2388"/>
      <c r="CY10" s="2388"/>
      <c r="CZ10" s="2388"/>
      <c r="DA10" s="2388"/>
      <c r="DB10" s="2388"/>
      <c r="DC10" s="2388"/>
      <c r="DD10" s="2388"/>
      <c r="DE10" s="2388"/>
      <c r="DF10" s="2388"/>
      <c r="DG10" s="2388"/>
      <c r="DH10" s="2388"/>
      <c r="DI10" s="2388"/>
      <c r="DJ10" s="2388"/>
      <c r="DK10" s="2388"/>
      <c r="DL10" s="2388"/>
      <c r="DM10" s="2388"/>
      <c r="DN10" s="2388"/>
      <c r="DO10" s="2388"/>
      <c r="DP10" s="2388"/>
      <c r="DQ10" s="2388"/>
      <c r="DR10" s="2388"/>
      <c r="DS10" s="2388"/>
      <c r="DT10" s="2388"/>
      <c r="DU10" s="2388"/>
      <c r="DV10" s="2388"/>
      <c r="DW10" s="2388"/>
      <c r="DX10" s="2388"/>
      <c r="DY10" s="2388"/>
      <c r="DZ10" s="2388"/>
      <c r="EA10" s="2388"/>
      <c r="EB10" s="2388"/>
      <c r="EC10" s="2388"/>
      <c r="ED10" s="2388"/>
      <c r="EE10" s="2388"/>
      <c r="EF10" s="2388"/>
      <c r="EG10" s="2388"/>
      <c r="EH10" s="2388"/>
      <c r="EI10" s="2388"/>
      <c r="EJ10" s="2388"/>
      <c r="EK10" s="2388"/>
      <c r="EL10" s="2388"/>
      <c r="EM10" s="2388"/>
      <c r="EN10" s="2388"/>
      <c r="EO10" s="2388"/>
      <c r="EP10" s="2388"/>
      <c r="EQ10" s="2388"/>
      <c r="ER10" s="2388"/>
      <c r="ES10" s="2388"/>
      <c r="ET10" s="2388"/>
      <c r="EU10" s="2388"/>
      <c r="EV10" s="2388"/>
      <c r="EW10" s="2388"/>
      <c r="EX10" s="2388"/>
      <c r="EY10" s="2388"/>
      <c r="EZ10" s="2388"/>
      <c r="FA10" s="2388"/>
      <c r="FB10" s="2388"/>
      <c r="FC10" s="2388"/>
      <c r="FD10" s="2388"/>
      <c r="FE10" s="2388"/>
      <c r="FF10" s="2388"/>
      <c r="FG10" s="2388"/>
      <c r="FH10" s="2388"/>
      <c r="FI10" s="2388"/>
      <c r="FJ10" s="2388"/>
      <c r="FK10" s="2388"/>
      <c r="FL10" s="2388"/>
      <c r="FM10" s="2388"/>
      <c r="FN10" s="2388"/>
      <c r="FO10" s="2388"/>
      <c r="FP10" s="2388"/>
      <c r="FQ10" s="2388"/>
      <c r="FR10" s="2388"/>
      <c r="FS10" s="2388"/>
      <c r="FT10" s="2388"/>
      <c r="FU10" s="2388"/>
      <c r="FV10" s="2389"/>
      <c r="FW10" s="2406"/>
      <c r="FX10" s="963"/>
    </row>
    <row r="11" spans="2:180" ht="12" customHeight="1">
      <c r="E11" s="846"/>
      <c r="F11" s="2224" t="s">
        <v>87</v>
      </c>
      <c r="G11" s="2224" t="s">
        <v>972</v>
      </c>
      <c r="H11" s="2224" t="s">
        <v>973</v>
      </c>
      <c r="I11" s="2224" t="s">
        <v>974</v>
      </c>
      <c r="J11" s="2396"/>
      <c r="K11" s="2396"/>
      <c r="L11" s="2396"/>
      <c r="M11" s="2396"/>
      <c r="N11" s="2396"/>
      <c r="O11" s="2229" t="s">
        <v>975</v>
      </c>
      <c r="P11" s="2229"/>
      <c r="Q11" s="2229"/>
      <c r="R11" s="2229"/>
      <c r="S11" s="2229"/>
      <c r="T11" s="2229"/>
      <c r="U11" s="2229"/>
      <c r="V11" s="2229"/>
      <c r="W11" s="2229"/>
      <c r="X11" s="2229"/>
      <c r="Y11" s="2229"/>
      <c r="Z11" s="2229"/>
      <c r="AA11" s="2229"/>
      <c r="AB11" s="2229"/>
      <c r="AC11" s="2394"/>
      <c r="AD11" s="2394"/>
      <c r="AE11" s="2394"/>
      <c r="AF11" s="2394"/>
      <c r="AG11" s="2394"/>
      <c r="AH11" s="2394"/>
      <c r="AI11" s="2394"/>
      <c r="AJ11" s="2394"/>
      <c r="AK11" s="2394"/>
      <c r="AL11" s="2394"/>
      <c r="AM11" s="2394"/>
      <c r="AN11" s="2394"/>
      <c r="AO11" s="2394"/>
      <c r="AP11" s="2394"/>
      <c r="AQ11" s="2394"/>
      <c r="AR11" s="2394"/>
      <c r="AS11" s="2394"/>
      <c r="AT11" s="2394"/>
      <c r="AU11" s="2394"/>
      <c r="AV11" s="2394"/>
      <c r="AW11" s="2394"/>
      <c r="AX11" s="2394"/>
      <c r="AY11" s="2394"/>
      <c r="AZ11" s="2394"/>
      <c r="BA11" s="2394"/>
      <c r="BB11" s="2394"/>
      <c r="BC11" s="2394"/>
      <c r="BD11" s="2394"/>
      <c r="BE11" s="2394"/>
      <c r="BF11" s="2394"/>
      <c r="BG11" s="2394"/>
      <c r="BH11" s="2394"/>
      <c r="BI11" s="2394"/>
      <c r="BJ11" s="2394"/>
      <c r="BK11" s="2394"/>
      <c r="BL11" s="2394"/>
      <c r="BM11" s="2394"/>
      <c r="BN11" s="2394"/>
      <c r="BO11" s="2394"/>
      <c r="BP11" s="2394"/>
      <c r="BQ11" s="2394"/>
      <c r="BR11" s="2394"/>
      <c r="BS11" s="2411"/>
      <c r="BT11" s="2391" t="s">
        <v>975</v>
      </c>
      <c r="BU11" s="2392"/>
      <c r="BV11" s="2392"/>
      <c r="BW11" s="2392"/>
      <c r="BX11" s="2392"/>
      <c r="BY11" s="2392"/>
      <c r="BZ11" s="2392"/>
      <c r="CA11" s="2392"/>
      <c r="CB11" s="2392"/>
      <c r="CC11" s="2392"/>
      <c r="CD11" s="2392"/>
      <c r="CE11" s="2392"/>
      <c r="CF11" s="2392"/>
      <c r="CG11" s="2392"/>
      <c r="CH11" s="2392"/>
      <c r="CI11" s="2392"/>
      <c r="CJ11" s="2392"/>
      <c r="CK11" s="2393"/>
      <c r="CL11" s="2395"/>
      <c r="CM11" s="2394"/>
      <c r="CN11" s="2394"/>
      <c r="CO11" s="2394"/>
      <c r="CP11" s="2394"/>
      <c r="CQ11" s="2394"/>
      <c r="CR11" s="2394"/>
      <c r="CS11" s="2394"/>
      <c r="CT11" s="2394"/>
      <c r="CU11" s="2394"/>
      <c r="CV11" s="2394"/>
      <c r="CW11" s="2394"/>
      <c r="CX11" s="2411"/>
      <c r="CY11" s="2391" t="s">
        <v>975</v>
      </c>
      <c r="CZ11" s="2392"/>
      <c r="DA11" s="2392"/>
      <c r="DB11" s="2392"/>
      <c r="DC11" s="2392"/>
      <c r="DD11" s="2392"/>
      <c r="DE11" s="2392"/>
      <c r="DF11" s="2392"/>
      <c r="DG11" s="2392"/>
      <c r="DH11" s="2392"/>
      <c r="DI11" s="2392"/>
      <c r="DJ11" s="2393"/>
      <c r="DK11" s="2395"/>
      <c r="DL11" s="2394"/>
      <c r="DM11" s="2394"/>
      <c r="DN11" s="2394"/>
      <c r="DO11" s="2394"/>
      <c r="DP11" s="2394"/>
      <c r="DQ11" s="2394"/>
      <c r="DR11" s="2394"/>
      <c r="DS11" s="2394"/>
      <c r="DT11" s="2394"/>
      <c r="DU11" s="2394"/>
      <c r="DV11" s="2394"/>
      <c r="DW11" s="2394"/>
      <c r="DX11" s="2394"/>
      <c r="DY11" s="2394"/>
      <c r="DZ11" s="2394"/>
      <c r="EA11" s="2394"/>
      <c r="EB11" s="2394"/>
      <c r="EC11" s="2394"/>
      <c r="ED11" s="2394"/>
      <c r="EE11" s="2394"/>
      <c r="EF11" s="2394"/>
      <c r="EG11" s="2394"/>
      <c r="EH11" s="2394"/>
      <c r="EI11" s="2394"/>
      <c r="EJ11" s="2394"/>
      <c r="EK11" s="2394"/>
      <c r="EL11" s="2394"/>
      <c r="EM11" s="2394"/>
      <c r="EN11" s="2394"/>
      <c r="EO11" s="2394"/>
      <c r="EP11" s="2394"/>
      <c r="EQ11" s="2394"/>
      <c r="ER11" s="2394"/>
      <c r="ES11" s="2394"/>
      <c r="ET11" s="2394"/>
      <c r="EU11" s="2394"/>
      <c r="EV11" s="2394"/>
      <c r="EW11" s="2394"/>
      <c r="EX11" s="2394"/>
      <c r="EY11" s="2394"/>
      <c r="EZ11" s="2394"/>
      <c r="FA11" s="2394"/>
      <c r="FB11" s="2394"/>
      <c r="FC11" s="2394"/>
      <c r="FD11" s="2394"/>
      <c r="FE11" s="2394"/>
      <c r="FF11" s="2394"/>
      <c r="FG11" s="2394"/>
      <c r="FH11" s="2394"/>
      <c r="FI11" s="2394"/>
      <c r="FJ11" s="2394"/>
      <c r="FK11" s="2394"/>
      <c r="FL11" s="2394"/>
      <c r="FM11" s="2394"/>
      <c r="FN11" s="2394"/>
      <c r="FO11" s="2394"/>
      <c r="FP11" s="2394"/>
      <c r="FQ11" s="2394"/>
      <c r="FR11" s="2394"/>
      <c r="FS11" s="2394"/>
      <c r="FT11" s="2394"/>
      <c r="FU11" s="2394"/>
      <c r="FV11" s="2394"/>
      <c r="FW11" s="2406"/>
      <c r="FX11" s="679"/>
    </row>
    <row r="12" spans="2:180" ht="12" customHeight="1">
      <c r="D12" s="847"/>
      <c r="E12" s="846"/>
      <c r="F12" s="2224"/>
      <c r="G12" s="2224"/>
      <c r="H12" s="2224"/>
      <c r="I12" s="2224"/>
      <c r="J12" s="2396"/>
      <c r="K12" s="2396"/>
      <c r="L12" s="2396"/>
      <c r="M12" s="2396"/>
      <c r="N12" s="2396"/>
      <c r="O12" s="2229" t="s">
        <v>976</v>
      </c>
      <c r="P12" s="2229"/>
      <c r="Q12" s="2229"/>
      <c r="R12" s="2229"/>
      <c r="S12" s="2229" t="s">
        <v>977</v>
      </c>
      <c r="T12" s="2229"/>
      <c r="U12" s="2229"/>
      <c r="V12" s="2229"/>
      <c r="W12" s="2229"/>
      <c r="X12" s="2229"/>
      <c r="Y12" s="2229"/>
      <c r="Z12" s="2229"/>
      <c r="AA12" s="2229"/>
      <c r="AB12" s="2229"/>
      <c r="AC12" s="2394"/>
      <c r="AD12" s="2394"/>
      <c r="AE12" s="2394"/>
      <c r="AF12" s="2394"/>
      <c r="AG12" s="2394"/>
      <c r="AH12" s="2394"/>
      <c r="AI12" s="2394"/>
      <c r="AJ12" s="2394"/>
      <c r="AK12" s="2394"/>
      <c r="AL12" s="2394"/>
      <c r="AM12" s="2394"/>
      <c r="AN12" s="2394"/>
      <c r="AO12" s="2394"/>
      <c r="AP12" s="2394"/>
      <c r="AQ12" s="2394"/>
      <c r="AR12" s="2394"/>
      <c r="AS12" s="2394"/>
      <c r="AT12" s="2394"/>
      <c r="AU12" s="2394"/>
      <c r="AV12" s="2394"/>
      <c r="AW12" s="2394"/>
      <c r="AX12" s="2394"/>
      <c r="AY12" s="2394"/>
      <c r="AZ12" s="2394"/>
      <c r="BA12" s="2394"/>
      <c r="BB12" s="2394"/>
      <c r="BC12" s="2394"/>
      <c r="BD12" s="2394"/>
      <c r="BE12" s="2394"/>
      <c r="BF12" s="2394"/>
      <c r="BG12" s="2394"/>
      <c r="BH12" s="2394"/>
      <c r="BI12" s="2394"/>
      <c r="BJ12" s="2394"/>
      <c r="BK12" s="2394"/>
      <c r="BL12" s="2394"/>
      <c r="BM12" s="2394"/>
      <c r="BN12" s="2394"/>
      <c r="BO12" s="2394"/>
      <c r="BP12" s="2394"/>
      <c r="BQ12" s="2394"/>
      <c r="BR12" s="2394"/>
      <c r="BS12" s="2411"/>
      <c r="BT12" s="2391" t="s">
        <v>978</v>
      </c>
      <c r="BU12" s="2392"/>
      <c r="BV12" s="2392"/>
      <c r="BW12" s="2393"/>
      <c r="BX12" s="2391" t="s">
        <v>979</v>
      </c>
      <c r="BY12" s="2392"/>
      <c r="BZ12" s="2392"/>
      <c r="CA12" s="2393"/>
      <c r="CB12" s="2391" t="s">
        <v>980</v>
      </c>
      <c r="CC12" s="2393"/>
      <c r="CD12" s="2391" t="s">
        <v>981</v>
      </c>
      <c r="CE12" s="2392"/>
      <c r="CF12" s="2392"/>
      <c r="CG12" s="2392"/>
      <c r="CH12" s="2392"/>
      <c r="CI12" s="2392"/>
      <c r="CJ12" s="2392"/>
      <c r="CK12" s="2393"/>
      <c r="CL12" s="2395"/>
      <c r="CM12" s="2394"/>
      <c r="CN12" s="2394"/>
      <c r="CO12" s="2394"/>
      <c r="CP12" s="2394"/>
      <c r="CQ12" s="2394"/>
      <c r="CR12" s="2394"/>
      <c r="CS12" s="2394"/>
      <c r="CT12" s="2394"/>
      <c r="CU12" s="2394"/>
      <c r="CV12" s="2394"/>
      <c r="CW12" s="2394"/>
      <c r="CX12" s="2411"/>
      <c r="CY12" s="2391" t="s">
        <v>982</v>
      </c>
      <c r="CZ12" s="2392"/>
      <c r="DA12" s="2392"/>
      <c r="DB12" s="2392"/>
      <c r="DC12" s="2392"/>
      <c r="DD12" s="2393"/>
      <c r="DE12" s="2391" t="s">
        <v>983</v>
      </c>
      <c r="DF12" s="2393"/>
      <c r="DG12" s="2391" t="s">
        <v>981</v>
      </c>
      <c r="DH12" s="2392"/>
      <c r="DI12" s="2392"/>
      <c r="DJ12" s="2393"/>
      <c r="DK12" s="2395"/>
      <c r="DL12" s="2394"/>
      <c r="DM12" s="2394"/>
      <c r="DN12" s="2394"/>
      <c r="DO12" s="2394"/>
      <c r="DP12" s="2394"/>
      <c r="DQ12" s="2394"/>
      <c r="DR12" s="2394"/>
      <c r="DS12" s="2394"/>
      <c r="DT12" s="2394"/>
      <c r="DU12" s="2394"/>
      <c r="DV12" s="2394"/>
      <c r="DW12" s="2394"/>
      <c r="DX12" s="2394"/>
      <c r="DY12" s="2394"/>
      <c r="DZ12" s="2394"/>
      <c r="EA12" s="2394"/>
      <c r="EB12" s="2394"/>
      <c r="EC12" s="2394"/>
      <c r="ED12" s="2394"/>
      <c r="EE12" s="2394"/>
      <c r="EF12" s="2394"/>
      <c r="EG12" s="2394"/>
      <c r="EH12" s="2394"/>
      <c r="EI12" s="2394"/>
      <c r="EJ12" s="2394"/>
      <c r="EK12" s="2394"/>
      <c r="EL12" s="2394"/>
      <c r="EM12" s="2394"/>
      <c r="EN12" s="2394"/>
      <c r="EO12" s="2394"/>
      <c r="EP12" s="2394"/>
      <c r="EQ12" s="2394"/>
      <c r="ER12" s="2394"/>
      <c r="ES12" s="2394"/>
      <c r="ET12" s="2394"/>
      <c r="EU12" s="2394"/>
      <c r="EV12" s="2394"/>
      <c r="EW12" s="2394"/>
      <c r="EX12" s="2394"/>
      <c r="EY12" s="2394"/>
      <c r="EZ12" s="2394"/>
      <c r="FA12" s="2394"/>
      <c r="FB12" s="2394"/>
      <c r="FC12" s="2394"/>
      <c r="FD12" s="2394"/>
      <c r="FE12" s="2394"/>
      <c r="FF12" s="2394"/>
      <c r="FG12" s="2394"/>
      <c r="FH12" s="2394"/>
      <c r="FI12" s="2394"/>
      <c r="FJ12" s="2394"/>
      <c r="FK12" s="2394"/>
      <c r="FL12" s="2394"/>
      <c r="FM12" s="2394"/>
      <c r="FN12" s="2394"/>
      <c r="FO12" s="2394"/>
      <c r="FP12" s="2394"/>
      <c r="FQ12" s="2394"/>
      <c r="FR12" s="2394"/>
      <c r="FS12" s="2394"/>
      <c r="FT12" s="2394"/>
      <c r="FU12" s="2394"/>
      <c r="FV12" s="2394"/>
      <c r="FW12" s="2406"/>
      <c r="FX12" s="679"/>
    </row>
    <row r="13" spans="2:180" ht="36" customHeight="1">
      <c r="D13" s="847"/>
      <c r="E13" s="846"/>
      <c r="F13" s="2224"/>
      <c r="G13" s="2224"/>
      <c r="H13" s="2224"/>
      <c r="I13" s="2224"/>
      <c r="J13" s="2396"/>
      <c r="K13" s="2396"/>
      <c r="L13" s="2396"/>
      <c r="M13" s="2396"/>
      <c r="N13" s="2396"/>
      <c r="O13" s="2229" t="s">
        <v>984</v>
      </c>
      <c r="P13" s="2229"/>
      <c r="Q13" s="2229"/>
      <c r="R13" s="2229"/>
      <c r="S13" s="2316" t="s">
        <v>985</v>
      </c>
      <c r="T13" s="2374"/>
      <c r="U13" s="2143" t="s">
        <v>986</v>
      </c>
      <c r="V13" s="2143"/>
      <c r="W13" s="2143"/>
      <c r="X13" s="2143"/>
      <c r="Y13" s="2143" t="s">
        <v>987</v>
      </c>
      <c r="Z13" s="2143"/>
      <c r="AA13" s="2143"/>
      <c r="AB13" s="2143"/>
      <c r="AC13" s="2394"/>
      <c r="AD13" s="2394"/>
      <c r="AE13" s="2394"/>
      <c r="AF13" s="2394"/>
      <c r="AG13" s="2394"/>
      <c r="AH13" s="2394"/>
      <c r="AI13" s="2394"/>
      <c r="AJ13" s="2394"/>
      <c r="AK13" s="2394"/>
      <c r="AL13" s="2394"/>
      <c r="AM13" s="2394"/>
      <c r="AN13" s="2394"/>
      <c r="AO13" s="2394"/>
      <c r="AP13" s="2394"/>
      <c r="AQ13" s="2394"/>
      <c r="AR13" s="2394"/>
      <c r="AS13" s="2394"/>
      <c r="AT13" s="2394"/>
      <c r="AU13" s="2394"/>
      <c r="AV13" s="2394"/>
      <c r="AW13" s="2394"/>
      <c r="AX13" s="2394"/>
      <c r="AY13" s="2394"/>
      <c r="AZ13" s="2394"/>
      <c r="BA13" s="2394"/>
      <c r="BB13" s="2394"/>
      <c r="BC13" s="2394"/>
      <c r="BD13" s="2394"/>
      <c r="BE13" s="2394"/>
      <c r="BF13" s="2394"/>
      <c r="BG13" s="2394"/>
      <c r="BH13" s="2394"/>
      <c r="BI13" s="2394"/>
      <c r="BJ13" s="2394"/>
      <c r="BK13" s="2394"/>
      <c r="BL13" s="2394"/>
      <c r="BM13" s="2394"/>
      <c r="BN13" s="2394"/>
      <c r="BO13" s="2394"/>
      <c r="BP13" s="2394"/>
      <c r="BQ13" s="2394"/>
      <c r="BR13" s="2394"/>
      <c r="BS13" s="2411"/>
      <c r="BT13" s="2316" t="s">
        <v>988</v>
      </c>
      <c r="BU13" s="2374"/>
      <c r="BV13" s="2316" t="s">
        <v>989</v>
      </c>
      <c r="BW13" s="2374"/>
      <c r="BX13" s="2316" t="s">
        <v>990</v>
      </c>
      <c r="BY13" s="2374"/>
      <c r="BZ13" s="2316" t="s">
        <v>991</v>
      </c>
      <c r="CA13" s="2374"/>
      <c r="CB13" s="2316" t="s">
        <v>992</v>
      </c>
      <c r="CC13" s="2374"/>
      <c r="CD13" s="2316" t="s">
        <v>993</v>
      </c>
      <c r="CE13" s="2374"/>
      <c r="CF13" s="2316" t="s">
        <v>994</v>
      </c>
      <c r="CG13" s="2374"/>
      <c r="CH13" s="2391" t="s">
        <v>995</v>
      </c>
      <c r="CI13" s="2392"/>
      <c r="CJ13" s="2392"/>
      <c r="CK13" s="2393"/>
      <c r="CL13" s="2395"/>
      <c r="CM13" s="2394"/>
      <c r="CN13" s="2394"/>
      <c r="CO13" s="2394"/>
      <c r="CP13" s="2394"/>
      <c r="CQ13" s="2394"/>
      <c r="CR13" s="2394"/>
      <c r="CS13" s="2394"/>
      <c r="CT13" s="2394"/>
      <c r="CU13" s="2394"/>
      <c r="CV13" s="2394"/>
      <c r="CW13" s="2394"/>
      <c r="CX13" s="2411"/>
      <c r="CY13" s="2316" t="s">
        <v>996</v>
      </c>
      <c r="CZ13" s="2374"/>
      <c r="DA13" s="2316" t="s">
        <v>997</v>
      </c>
      <c r="DB13" s="2374"/>
      <c r="DC13" s="2316" t="s">
        <v>998</v>
      </c>
      <c r="DD13" s="2374"/>
      <c r="DE13" s="2316" t="s">
        <v>999</v>
      </c>
      <c r="DF13" s="2374"/>
      <c r="DG13" s="2391" t="s">
        <v>1000</v>
      </c>
      <c r="DH13" s="2392"/>
      <c r="DI13" s="2392"/>
      <c r="DJ13" s="2393"/>
      <c r="DK13" s="2395"/>
      <c r="DL13" s="2394"/>
      <c r="DM13" s="2394"/>
      <c r="DN13" s="2394"/>
      <c r="DO13" s="2394"/>
      <c r="DP13" s="2394"/>
      <c r="DQ13" s="2394"/>
      <c r="DR13" s="2394"/>
      <c r="DS13" s="2394"/>
      <c r="DT13" s="2394"/>
      <c r="DU13" s="2394"/>
      <c r="DV13" s="2394"/>
      <c r="DW13" s="2394"/>
      <c r="DX13" s="2394"/>
      <c r="DY13" s="2394"/>
      <c r="DZ13" s="2394"/>
      <c r="EA13" s="2394"/>
      <c r="EB13" s="2394"/>
      <c r="EC13" s="2394"/>
      <c r="ED13" s="2394"/>
      <c r="EE13" s="2394"/>
      <c r="EF13" s="2394"/>
      <c r="EG13" s="2394"/>
      <c r="EH13" s="2394"/>
      <c r="EI13" s="2394"/>
      <c r="EJ13" s="2394"/>
      <c r="EK13" s="2394"/>
      <c r="EL13" s="2394"/>
      <c r="EM13" s="2394"/>
      <c r="EN13" s="2394"/>
      <c r="EO13" s="2394"/>
      <c r="EP13" s="2394"/>
      <c r="EQ13" s="2394"/>
      <c r="ER13" s="2394"/>
      <c r="ES13" s="2394"/>
      <c r="ET13" s="2394"/>
      <c r="EU13" s="2394"/>
      <c r="EV13" s="2394"/>
      <c r="EW13" s="2394"/>
      <c r="EX13" s="2394"/>
      <c r="EY13" s="2394"/>
      <c r="EZ13" s="2394"/>
      <c r="FA13" s="2394"/>
      <c r="FB13" s="2394"/>
      <c r="FC13" s="2394"/>
      <c r="FD13" s="2394"/>
      <c r="FE13" s="2394"/>
      <c r="FF13" s="2394"/>
      <c r="FG13" s="2394"/>
      <c r="FH13" s="2394"/>
      <c r="FI13" s="2394"/>
      <c r="FJ13" s="2394"/>
      <c r="FK13" s="2394"/>
      <c r="FL13" s="2394"/>
      <c r="FM13" s="2394"/>
      <c r="FN13" s="2394"/>
      <c r="FO13" s="2394"/>
      <c r="FP13" s="2394"/>
      <c r="FQ13" s="2394"/>
      <c r="FR13" s="2394"/>
      <c r="FS13" s="2394"/>
      <c r="FT13" s="2394"/>
      <c r="FU13" s="2394"/>
      <c r="FV13" s="2394"/>
      <c r="FW13" s="2406"/>
      <c r="FX13" s="679"/>
    </row>
    <row r="14" spans="2:180" ht="36" customHeight="1">
      <c r="D14" s="847"/>
      <c r="E14" s="846"/>
      <c r="F14" s="2224"/>
      <c r="G14" s="2224"/>
      <c r="H14" s="2224"/>
      <c r="I14" s="2224"/>
      <c r="J14" s="2396"/>
      <c r="K14" s="2396"/>
      <c r="L14" s="2396"/>
      <c r="M14" s="2396"/>
      <c r="N14" s="2396"/>
      <c r="O14" s="2316" t="s">
        <v>1001</v>
      </c>
      <c r="P14" s="2374"/>
      <c r="Q14" s="2316" t="s">
        <v>1002</v>
      </c>
      <c r="R14" s="2374"/>
      <c r="S14" s="2317"/>
      <c r="T14" s="2230"/>
      <c r="U14" s="2316" t="s">
        <v>734</v>
      </c>
      <c r="V14" s="2374"/>
      <c r="W14" s="2316" t="s">
        <v>737</v>
      </c>
      <c r="X14" s="2374"/>
      <c r="Y14" s="2316" t="s">
        <v>734</v>
      </c>
      <c r="Z14" s="2374"/>
      <c r="AA14" s="2316" t="s">
        <v>744</v>
      </c>
      <c r="AB14" s="2374"/>
      <c r="AC14" s="2394"/>
      <c r="AD14" s="2394"/>
      <c r="AE14" s="2394"/>
      <c r="AF14" s="2394"/>
      <c r="AG14" s="2394"/>
      <c r="AH14" s="2394"/>
      <c r="AI14" s="2394"/>
      <c r="AJ14" s="2394"/>
      <c r="AK14" s="2394"/>
      <c r="AL14" s="2394"/>
      <c r="AM14" s="2394"/>
      <c r="AN14" s="2394"/>
      <c r="AO14" s="2394"/>
      <c r="AP14" s="2394"/>
      <c r="AQ14" s="2394"/>
      <c r="AR14" s="2394"/>
      <c r="AS14" s="2394"/>
      <c r="AT14" s="2394"/>
      <c r="AU14" s="2394"/>
      <c r="AV14" s="2394"/>
      <c r="AW14" s="2394"/>
      <c r="AX14" s="2394"/>
      <c r="AY14" s="2394"/>
      <c r="AZ14" s="2394"/>
      <c r="BA14" s="2394"/>
      <c r="BB14" s="2394"/>
      <c r="BC14" s="2394"/>
      <c r="BD14" s="2394"/>
      <c r="BE14" s="2394"/>
      <c r="BF14" s="2394"/>
      <c r="BG14" s="2394"/>
      <c r="BH14" s="2394"/>
      <c r="BI14" s="2394"/>
      <c r="BJ14" s="2394"/>
      <c r="BK14" s="2394"/>
      <c r="BL14" s="2394"/>
      <c r="BM14" s="2394"/>
      <c r="BN14" s="2394"/>
      <c r="BO14" s="2394"/>
      <c r="BP14" s="2394"/>
      <c r="BQ14" s="2394"/>
      <c r="BR14" s="2394"/>
      <c r="BS14" s="2411"/>
      <c r="BT14" s="2317"/>
      <c r="BU14" s="2230"/>
      <c r="BV14" s="2317"/>
      <c r="BW14" s="2230"/>
      <c r="BX14" s="2317"/>
      <c r="BY14" s="2230"/>
      <c r="BZ14" s="2317"/>
      <c r="CA14" s="2230"/>
      <c r="CB14" s="2317"/>
      <c r="CC14" s="2230"/>
      <c r="CD14" s="2317"/>
      <c r="CE14" s="2230"/>
      <c r="CF14" s="2317"/>
      <c r="CG14" s="2230"/>
      <c r="CH14" s="2316" t="s">
        <v>1003</v>
      </c>
      <c r="CI14" s="2374"/>
      <c r="CJ14" s="2316" t="s">
        <v>1004</v>
      </c>
      <c r="CK14" s="2374"/>
      <c r="CL14" s="2395"/>
      <c r="CM14" s="2394"/>
      <c r="CN14" s="2394"/>
      <c r="CO14" s="2394"/>
      <c r="CP14" s="2394"/>
      <c r="CQ14" s="2394"/>
      <c r="CR14" s="2394"/>
      <c r="CS14" s="2394"/>
      <c r="CT14" s="2394"/>
      <c r="CU14" s="2394"/>
      <c r="CV14" s="2394"/>
      <c r="CW14" s="2394"/>
      <c r="CX14" s="2411"/>
      <c r="CY14" s="2317"/>
      <c r="CZ14" s="2230"/>
      <c r="DA14" s="2317"/>
      <c r="DB14" s="2230"/>
      <c r="DC14" s="2317"/>
      <c r="DD14" s="2230"/>
      <c r="DE14" s="2317"/>
      <c r="DF14" s="2230"/>
      <c r="DG14" s="2316" t="s">
        <v>1005</v>
      </c>
      <c r="DH14" s="2374"/>
      <c r="DI14" s="2316" t="s">
        <v>1006</v>
      </c>
      <c r="DJ14" s="2374"/>
      <c r="DK14" s="2395"/>
      <c r="DL14" s="2394"/>
      <c r="DM14" s="2394"/>
      <c r="DN14" s="2394"/>
      <c r="DO14" s="2394"/>
      <c r="DP14" s="2394"/>
      <c r="DQ14" s="2394"/>
      <c r="DR14" s="2394"/>
      <c r="DS14" s="2394"/>
      <c r="DT14" s="2394"/>
      <c r="DU14" s="2394"/>
      <c r="DV14" s="2394"/>
      <c r="DW14" s="2394"/>
      <c r="DX14" s="2394"/>
      <c r="DY14" s="2394"/>
      <c r="DZ14" s="2394"/>
      <c r="EA14" s="2394"/>
      <c r="EB14" s="2394"/>
      <c r="EC14" s="2394"/>
      <c r="ED14" s="2394"/>
      <c r="EE14" s="2394"/>
      <c r="EF14" s="2394"/>
      <c r="EG14" s="2394"/>
      <c r="EH14" s="2394"/>
      <c r="EI14" s="2394"/>
      <c r="EJ14" s="2394"/>
      <c r="EK14" s="2394"/>
      <c r="EL14" s="2394"/>
      <c r="EM14" s="2394"/>
      <c r="EN14" s="2394"/>
      <c r="EO14" s="2394"/>
      <c r="EP14" s="2394"/>
      <c r="EQ14" s="2394"/>
      <c r="ER14" s="2394"/>
      <c r="ES14" s="2394"/>
      <c r="ET14" s="2394"/>
      <c r="EU14" s="2394"/>
      <c r="EV14" s="2394"/>
      <c r="EW14" s="2394"/>
      <c r="EX14" s="2394"/>
      <c r="EY14" s="2394"/>
      <c r="EZ14" s="2394"/>
      <c r="FA14" s="2394"/>
      <c r="FB14" s="2394"/>
      <c r="FC14" s="2394"/>
      <c r="FD14" s="2394"/>
      <c r="FE14" s="2394"/>
      <c r="FF14" s="2394"/>
      <c r="FG14" s="2394"/>
      <c r="FH14" s="2394"/>
      <c r="FI14" s="2394"/>
      <c r="FJ14" s="2394"/>
      <c r="FK14" s="2394"/>
      <c r="FL14" s="2394"/>
      <c r="FM14" s="2394"/>
      <c r="FN14" s="2394"/>
      <c r="FO14" s="2394"/>
      <c r="FP14" s="2394"/>
      <c r="FQ14" s="2394"/>
      <c r="FR14" s="2394"/>
      <c r="FS14" s="2394"/>
      <c r="FT14" s="2394"/>
      <c r="FU14" s="2394"/>
      <c r="FV14" s="2394"/>
      <c r="FW14" s="2406"/>
      <c r="FX14" s="679"/>
    </row>
    <row r="15" spans="2:180" ht="36" customHeight="1">
      <c r="D15" s="847"/>
      <c r="E15" s="846"/>
      <c r="F15" s="2224"/>
      <c r="G15" s="2224"/>
      <c r="H15" s="2224"/>
      <c r="I15" s="2224"/>
      <c r="J15" s="2396"/>
      <c r="K15" s="2396"/>
      <c r="L15" s="2396"/>
      <c r="M15" s="2396"/>
      <c r="N15" s="2396"/>
      <c r="O15" s="2318"/>
      <c r="P15" s="2375"/>
      <c r="Q15" s="2318"/>
      <c r="R15" s="2375"/>
      <c r="S15" s="2318"/>
      <c r="T15" s="2375"/>
      <c r="U15" s="2318"/>
      <c r="V15" s="2375"/>
      <c r="W15" s="2318"/>
      <c r="X15" s="2375"/>
      <c r="Y15" s="2318"/>
      <c r="Z15" s="2375"/>
      <c r="AA15" s="2318"/>
      <c r="AB15" s="2375"/>
      <c r="AC15" s="2394"/>
      <c r="AD15" s="2394"/>
      <c r="AE15" s="2394"/>
      <c r="AF15" s="2394"/>
      <c r="AG15" s="2394"/>
      <c r="AH15" s="2394"/>
      <c r="AI15" s="2394"/>
      <c r="AJ15" s="2394"/>
      <c r="AK15" s="2394"/>
      <c r="AL15" s="2394"/>
      <c r="AM15" s="2394"/>
      <c r="AN15" s="2394"/>
      <c r="AO15" s="2394"/>
      <c r="AP15" s="2394"/>
      <c r="AQ15" s="2394"/>
      <c r="AR15" s="2394"/>
      <c r="AS15" s="2394"/>
      <c r="AT15" s="2394"/>
      <c r="AU15" s="2394"/>
      <c r="AV15" s="2394"/>
      <c r="AW15" s="2394"/>
      <c r="AX15" s="2394"/>
      <c r="AY15" s="2394"/>
      <c r="AZ15" s="2394"/>
      <c r="BA15" s="2394"/>
      <c r="BB15" s="2394"/>
      <c r="BC15" s="2394"/>
      <c r="BD15" s="2394"/>
      <c r="BE15" s="2394"/>
      <c r="BF15" s="2394"/>
      <c r="BG15" s="2394"/>
      <c r="BH15" s="2394"/>
      <c r="BI15" s="2394"/>
      <c r="BJ15" s="2394"/>
      <c r="BK15" s="2394"/>
      <c r="BL15" s="2394"/>
      <c r="BM15" s="2394"/>
      <c r="BN15" s="2394"/>
      <c r="BO15" s="2394"/>
      <c r="BP15" s="2394"/>
      <c r="BQ15" s="2394"/>
      <c r="BR15" s="2394"/>
      <c r="BS15" s="2411"/>
      <c r="BT15" s="2318"/>
      <c r="BU15" s="2375"/>
      <c r="BV15" s="2318"/>
      <c r="BW15" s="2375"/>
      <c r="BX15" s="2318"/>
      <c r="BY15" s="2375"/>
      <c r="BZ15" s="2318"/>
      <c r="CA15" s="2375"/>
      <c r="CB15" s="2318"/>
      <c r="CC15" s="2375"/>
      <c r="CD15" s="2318"/>
      <c r="CE15" s="2375"/>
      <c r="CF15" s="2318"/>
      <c r="CG15" s="2375"/>
      <c r="CH15" s="2318"/>
      <c r="CI15" s="2375"/>
      <c r="CJ15" s="2318"/>
      <c r="CK15" s="2375"/>
      <c r="CL15" s="2395"/>
      <c r="CM15" s="2394"/>
      <c r="CN15" s="2394"/>
      <c r="CO15" s="2394"/>
      <c r="CP15" s="2394"/>
      <c r="CQ15" s="2394"/>
      <c r="CR15" s="2394"/>
      <c r="CS15" s="2394"/>
      <c r="CT15" s="2394"/>
      <c r="CU15" s="2394"/>
      <c r="CV15" s="2394"/>
      <c r="CW15" s="2394"/>
      <c r="CX15" s="2411"/>
      <c r="CY15" s="2318"/>
      <c r="CZ15" s="2375"/>
      <c r="DA15" s="2318"/>
      <c r="DB15" s="2375"/>
      <c r="DC15" s="2318"/>
      <c r="DD15" s="2375"/>
      <c r="DE15" s="2318"/>
      <c r="DF15" s="2375"/>
      <c r="DG15" s="2318"/>
      <c r="DH15" s="2375"/>
      <c r="DI15" s="2318"/>
      <c r="DJ15" s="2375"/>
      <c r="DK15" s="2395"/>
      <c r="DL15" s="2394"/>
      <c r="DM15" s="2394"/>
      <c r="DN15" s="2394"/>
      <c r="DO15" s="2394"/>
      <c r="DP15" s="2394"/>
      <c r="DQ15" s="2394"/>
      <c r="DR15" s="2394"/>
      <c r="DS15" s="2394"/>
      <c r="DT15" s="2394"/>
      <c r="DU15" s="2394"/>
      <c r="DV15" s="2394"/>
      <c r="DW15" s="2394"/>
      <c r="DX15" s="2394"/>
      <c r="DY15" s="2394"/>
      <c r="DZ15" s="2394"/>
      <c r="EA15" s="2394"/>
      <c r="EB15" s="2394"/>
      <c r="EC15" s="2394"/>
      <c r="ED15" s="2394"/>
      <c r="EE15" s="2394"/>
      <c r="EF15" s="2394"/>
      <c r="EG15" s="2394"/>
      <c r="EH15" s="2394"/>
      <c r="EI15" s="2394"/>
      <c r="EJ15" s="2394"/>
      <c r="EK15" s="2394"/>
      <c r="EL15" s="2394"/>
      <c r="EM15" s="2394"/>
      <c r="EN15" s="2394"/>
      <c r="EO15" s="2394"/>
      <c r="EP15" s="2394"/>
      <c r="EQ15" s="2394"/>
      <c r="ER15" s="2394"/>
      <c r="ES15" s="2394"/>
      <c r="ET15" s="2394"/>
      <c r="EU15" s="2394"/>
      <c r="EV15" s="2394"/>
      <c r="EW15" s="2394"/>
      <c r="EX15" s="2394"/>
      <c r="EY15" s="2394"/>
      <c r="EZ15" s="2394"/>
      <c r="FA15" s="2394"/>
      <c r="FB15" s="2394"/>
      <c r="FC15" s="2394"/>
      <c r="FD15" s="2394"/>
      <c r="FE15" s="2394"/>
      <c r="FF15" s="2394"/>
      <c r="FG15" s="2394"/>
      <c r="FH15" s="2394"/>
      <c r="FI15" s="2394"/>
      <c r="FJ15" s="2394"/>
      <c r="FK15" s="2394"/>
      <c r="FL15" s="2394"/>
      <c r="FM15" s="2394"/>
      <c r="FN15" s="2394"/>
      <c r="FO15" s="2394"/>
      <c r="FP15" s="2394"/>
      <c r="FQ15" s="2394"/>
      <c r="FR15" s="2394"/>
      <c r="FS15" s="2394"/>
      <c r="FT15" s="2394"/>
      <c r="FU15" s="2394"/>
      <c r="FV15" s="2394"/>
      <c r="FW15" s="2406"/>
      <c r="FX15" s="679"/>
    </row>
    <row r="16" spans="2:180" ht="12" customHeight="1">
      <c r="D16" s="847"/>
      <c r="E16" s="846"/>
      <c r="F16" s="2224"/>
      <c r="G16" s="2224"/>
      <c r="H16" s="2224"/>
      <c r="I16" s="2224"/>
      <c r="J16" s="2396"/>
      <c r="K16" s="2396"/>
      <c r="L16" s="2396"/>
      <c r="M16" s="2396"/>
      <c r="N16" s="2396"/>
      <c r="O16" s="2391" t="s">
        <v>724</v>
      </c>
      <c r="P16" s="2393"/>
      <c r="Q16" s="2391" t="s">
        <v>726</v>
      </c>
      <c r="R16" s="2393"/>
      <c r="S16" s="2391" t="s">
        <v>730</v>
      </c>
      <c r="T16" s="2393"/>
      <c r="U16" s="2391" t="s">
        <v>735</v>
      </c>
      <c r="V16" s="2393"/>
      <c r="W16" s="2391" t="s">
        <v>738</v>
      </c>
      <c r="X16" s="2393"/>
      <c r="Y16" s="2391" t="s">
        <v>742</v>
      </c>
      <c r="Z16" s="2393"/>
      <c r="AA16" s="2391" t="s">
        <v>745</v>
      </c>
      <c r="AB16" s="2393"/>
      <c r="AC16" s="2394"/>
      <c r="AD16" s="2394"/>
      <c r="AE16" s="2394"/>
      <c r="AF16" s="2394"/>
      <c r="AG16" s="2394"/>
      <c r="AH16" s="2394"/>
      <c r="AI16" s="2394"/>
      <c r="AJ16" s="2394"/>
      <c r="AK16" s="2394"/>
      <c r="AL16" s="2394"/>
      <c r="AM16" s="2394"/>
      <c r="AN16" s="2394"/>
      <c r="AO16" s="2394"/>
      <c r="AP16" s="2394"/>
      <c r="AQ16" s="2394"/>
      <c r="AR16" s="2394"/>
      <c r="AS16" s="2394"/>
      <c r="AT16" s="2394"/>
      <c r="AU16" s="2394"/>
      <c r="AV16" s="2394"/>
      <c r="AW16" s="2394"/>
      <c r="AX16" s="2394"/>
      <c r="AY16" s="2394"/>
      <c r="AZ16" s="2394"/>
      <c r="BA16" s="2394"/>
      <c r="BB16" s="2394"/>
      <c r="BC16" s="2394"/>
      <c r="BD16" s="2394"/>
      <c r="BE16" s="2394"/>
      <c r="BF16" s="2394"/>
      <c r="BG16" s="2394"/>
      <c r="BH16" s="2394"/>
      <c r="BI16" s="2394"/>
      <c r="BJ16" s="2394"/>
      <c r="BK16" s="2394"/>
      <c r="BL16" s="2394"/>
      <c r="BM16" s="2394"/>
      <c r="BN16" s="2394"/>
      <c r="BO16" s="2394"/>
      <c r="BP16" s="2394"/>
      <c r="BQ16" s="2394"/>
      <c r="BR16" s="2394"/>
      <c r="BS16" s="2411"/>
      <c r="BT16" s="2391" t="s">
        <v>542</v>
      </c>
      <c r="BU16" s="2393"/>
      <c r="BV16" s="2391" t="s">
        <v>542</v>
      </c>
      <c r="BW16" s="2393"/>
      <c r="BX16" s="2391" t="s">
        <v>542</v>
      </c>
      <c r="BY16" s="2393"/>
      <c r="BZ16" s="2391" t="s">
        <v>542</v>
      </c>
      <c r="CA16" s="2393"/>
      <c r="CB16" s="2391" t="s">
        <v>1007</v>
      </c>
      <c r="CC16" s="2393"/>
      <c r="CD16" s="2391" t="s">
        <v>542</v>
      </c>
      <c r="CE16" s="2393"/>
      <c r="CF16" s="2391" t="s">
        <v>1008</v>
      </c>
      <c r="CG16" s="2393"/>
      <c r="CH16" s="2391" t="s">
        <v>1009</v>
      </c>
      <c r="CI16" s="2393"/>
      <c r="CJ16" s="2391" t="s">
        <v>1009</v>
      </c>
      <c r="CK16" s="2393"/>
      <c r="CL16" s="2395"/>
      <c r="CM16" s="2394"/>
      <c r="CN16" s="2394"/>
      <c r="CO16" s="2394"/>
      <c r="CP16" s="2394"/>
      <c r="CQ16" s="2394"/>
      <c r="CR16" s="2394"/>
      <c r="CS16" s="2394"/>
      <c r="CT16" s="2394"/>
      <c r="CU16" s="2394"/>
      <c r="CV16" s="2394"/>
      <c r="CW16" s="2394"/>
      <c r="CX16" s="2411"/>
      <c r="CY16" s="2316" t="s">
        <v>542</v>
      </c>
      <c r="CZ16" s="2374"/>
      <c r="DA16" s="2316" t="s">
        <v>542</v>
      </c>
      <c r="DB16" s="2374"/>
      <c r="DC16" s="2316" t="s">
        <v>542</v>
      </c>
      <c r="DD16" s="2374"/>
      <c r="DE16" s="2391" t="s">
        <v>1007</v>
      </c>
      <c r="DF16" s="2393"/>
      <c r="DG16" s="2391" t="s">
        <v>1010</v>
      </c>
      <c r="DH16" s="2393"/>
      <c r="DI16" s="2391" t="s">
        <v>1010</v>
      </c>
      <c r="DJ16" s="2393"/>
      <c r="DK16" s="2395"/>
      <c r="DL16" s="2394"/>
      <c r="DM16" s="2394"/>
      <c r="DN16" s="2394"/>
      <c r="DO16" s="2394"/>
      <c r="DP16" s="2394"/>
      <c r="DQ16" s="2394"/>
      <c r="DR16" s="2394"/>
      <c r="DS16" s="2394"/>
      <c r="DT16" s="2394"/>
      <c r="DU16" s="2394"/>
      <c r="DV16" s="2394"/>
      <c r="DW16" s="2394"/>
      <c r="DX16" s="2394"/>
      <c r="DY16" s="2394"/>
      <c r="DZ16" s="2394"/>
      <c r="EA16" s="2394"/>
      <c r="EB16" s="2394"/>
      <c r="EC16" s="2394"/>
      <c r="ED16" s="2394"/>
      <c r="EE16" s="2394"/>
      <c r="EF16" s="2394"/>
      <c r="EG16" s="2394"/>
      <c r="EH16" s="2394"/>
      <c r="EI16" s="2394"/>
      <c r="EJ16" s="2394"/>
      <c r="EK16" s="2394"/>
      <c r="EL16" s="2394"/>
      <c r="EM16" s="2394"/>
      <c r="EN16" s="2394"/>
      <c r="EO16" s="2394"/>
      <c r="EP16" s="2394"/>
      <c r="EQ16" s="2394"/>
      <c r="ER16" s="2394"/>
      <c r="ES16" s="2394"/>
      <c r="ET16" s="2394"/>
      <c r="EU16" s="2394"/>
      <c r="EV16" s="2394"/>
      <c r="EW16" s="2394"/>
      <c r="EX16" s="2394"/>
      <c r="EY16" s="2394"/>
      <c r="EZ16" s="2394"/>
      <c r="FA16" s="2394"/>
      <c r="FB16" s="2394"/>
      <c r="FC16" s="2394"/>
      <c r="FD16" s="2394"/>
      <c r="FE16" s="2394"/>
      <c r="FF16" s="2394"/>
      <c r="FG16" s="2394"/>
      <c r="FH16" s="2394"/>
      <c r="FI16" s="2394"/>
      <c r="FJ16" s="2394"/>
      <c r="FK16" s="2394"/>
      <c r="FL16" s="2394"/>
      <c r="FM16" s="2394"/>
      <c r="FN16" s="2394"/>
      <c r="FO16" s="2394"/>
      <c r="FP16" s="2394"/>
      <c r="FQ16" s="2394"/>
      <c r="FR16" s="2394"/>
      <c r="FS16" s="2394"/>
      <c r="FT16" s="2394"/>
      <c r="FU16" s="2394"/>
      <c r="FV16" s="2394"/>
      <c r="FW16" s="2406"/>
      <c r="FX16" s="679"/>
    </row>
    <row r="17" spans="1:184" ht="15" customHeight="1">
      <c r="E17" s="846"/>
      <c r="F17" s="2224"/>
      <c r="G17" s="2224"/>
      <c r="H17" s="2224"/>
      <c r="I17" s="2224"/>
      <c r="J17" s="2396"/>
      <c r="K17" s="2396"/>
      <c r="L17" s="2396"/>
      <c r="M17" s="2396"/>
      <c r="N17" s="2396"/>
      <c r="O17" s="1093" t="s">
        <v>1011</v>
      </c>
      <c r="P17" s="1093" t="s">
        <v>1012</v>
      </c>
      <c r="Q17" s="1093" t="s">
        <v>1011</v>
      </c>
      <c r="R17" s="1093" t="s">
        <v>1012</v>
      </c>
      <c r="S17" s="1093" t="s">
        <v>1011</v>
      </c>
      <c r="T17" s="1093" t="s">
        <v>1012</v>
      </c>
      <c r="U17" s="1093" t="s">
        <v>1011</v>
      </c>
      <c r="V17" s="1093" t="s">
        <v>1012</v>
      </c>
      <c r="W17" s="1093" t="s">
        <v>1011</v>
      </c>
      <c r="X17" s="1093" t="s">
        <v>1012</v>
      </c>
      <c r="Y17" s="1093" t="s">
        <v>1011</v>
      </c>
      <c r="Z17" s="1093" t="s">
        <v>1012</v>
      </c>
      <c r="AA17" s="1093" t="s">
        <v>1011</v>
      </c>
      <c r="AB17" s="1093" t="s">
        <v>1012</v>
      </c>
      <c r="AC17" s="2394"/>
      <c r="AD17" s="2394"/>
      <c r="AE17" s="2394"/>
      <c r="AF17" s="2394"/>
      <c r="AG17" s="2394"/>
      <c r="AH17" s="2394"/>
      <c r="AI17" s="2394"/>
      <c r="AJ17" s="2394"/>
      <c r="AK17" s="2394"/>
      <c r="AL17" s="2394"/>
      <c r="AM17" s="2394"/>
      <c r="AN17" s="2394"/>
      <c r="AO17" s="2394"/>
      <c r="AP17" s="2394"/>
      <c r="AQ17" s="2394"/>
      <c r="AR17" s="2394"/>
      <c r="AS17" s="2394"/>
      <c r="AT17" s="2394"/>
      <c r="AU17" s="2394"/>
      <c r="AV17" s="2394"/>
      <c r="AW17" s="2394"/>
      <c r="AX17" s="2394"/>
      <c r="AY17" s="2394"/>
      <c r="AZ17" s="2394"/>
      <c r="BA17" s="2394"/>
      <c r="BB17" s="2394"/>
      <c r="BC17" s="2394"/>
      <c r="BD17" s="2394"/>
      <c r="BE17" s="2394"/>
      <c r="BF17" s="2394"/>
      <c r="BG17" s="2394"/>
      <c r="BH17" s="2394"/>
      <c r="BI17" s="2394"/>
      <c r="BJ17" s="2394"/>
      <c r="BK17" s="2394"/>
      <c r="BL17" s="2394"/>
      <c r="BM17" s="2394"/>
      <c r="BN17" s="2394"/>
      <c r="BO17" s="2394"/>
      <c r="BP17" s="2394"/>
      <c r="BQ17" s="2394"/>
      <c r="BR17" s="2394"/>
      <c r="BS17" s="2411"/>
      <c r="BT17" s="1093" t="s">
        <v>1011</v>
      </c>
      <c r="BU17" s="1093" t="s">
        <v>1012</v>
      </c>
      <c r="BV17" s="1093" t="s">
        <v>1011</v>
      </c>
      <c r="BW17" s="1093" t="s">
        <v>1012</v>
      </c>
      <c r="BX17" s="1093" t="s">
        <v>1011</v>
      </c>
      <c r="BY17" s="1093" t="s">
        <v>1012</v>
      </c>
      <c r="BZ17" s="1093" t="s">
        <v>1011</v>
      </c>
      <c r="CA17" s="1093" t="s">
        <v>1012</v>
      </c>
      <c r="CB17" s="1093" t="s">
        <v>1011</v>
      </c>
      <c r="CC17" s="1093" t="s">
        <v>1012</v>
      </c>
      <c r="CD17" s="1093" t="s">
        <v>1011</v>
      </c>
      <c r="CE17" s="1093" t="s">
        <v>1012</v>
      </c>
      <c r="CF17" s="1093" t="s">
        <v>1011</v>
      </c>
      <c r="CG17" s="1093" t="s">
        <v>1012</v>
      </c>
      <c r="CH17" s="1093" t="s">
        <v>1011</v>
      </c>
      <c r="CI17" s="1093" t="s">
        <v>1012</v>
      </c>
      <c r="CJ17" s="1093" t="s">
        <v>1011</v>
      </c>
      <c r="CK17" s="1093" t="s">
        <v>1012</v>
      </c>
      <c r="CL17" s="2395"/>
      <c r="CM17" s="2394"/>
      <c r="CN17" s="2394"/>
      <c r="CO17" s="2394"/>
      <c r="CP17" s="2394"/>
      <c r="CQ17" s="2394"/>
      <c r="CR17" s="2394"/>
      <c r="CS17" s="2394"/>
      <c r="CT17" s="2394"/>
      <c r="CU17" s="2394"/>
      <c r="CV17" s="2394"/>
      <c r="CW17" s="2394"/>
      <c r="CX17" s="2411"/>
      <c r="CY17" s="1093" t="s">
        <v>1011</v>
      </c>
      <c r="CZ17" s="1093" t="s">
        <v>1012</v>
      </c>
      <c r="DA17" s="1093" t="s">
        <v>1011</v>
      </c>
      <c r="DB17" s="1093" t="s">
        <v>1012</v>
      </c>
      <c r="DC17" s="1093" t="s">
        <v>1011</v>
      </c>
      <c r="DD17" s="1093" t="s">
        <v>1012</v>
      </c>
      <c r="DE17" s="1093" t="s">
        <v>1011</v>
      </c>
      <c r="DF17" s="1093" t="s">
        <v>1012</v>
      </c>
      <c r="DG17" s="1093" t="s">
        <v>1011</v>
      </c>
      <c r="DH17" s="1093" t="s">
        <v>1012</v>
      </c>
      <c r="DI17" s="1093" t="s">
        <v>1011</v>
      </c>
      <c r="DJ17" s="1093" t="s">
        <v>1012</v>
      </c>
      <c r="DK17" s="2395"/>
      <c r="DL17" s="2394"/>
      <c r="DM17" s="2394"/>
      <c r="DN17" s="2394"/>
      <c r="DO17" s="2394"/>
      <c r="DP17" s="2394"/>
      <c r="DQ17" s="2394"/>
      <c r="DR17" s="2394"/>
      <c r="DS17" s="2394"/>
      <c r="DT17" s="2394"/>
      <c r="DU17" s="2394"/>
      <c r="DV17" s="2394"/>
      <c r="DW17" s="2394"/>
      <c r="DX17" s="2394"/>
      <c r="DY17" s="2394"/>
      <c r="DZ17" s="2394"/>
      <c r="EA17" s="2394"/>
      <c r="EB17" s="2394"/>
      <c r="EC17" s="2394"/>
      <c r="ED17" s="2394"/>
      <c r="EE17" s="2394"/>
      <c r="EF17" s="2394"/>
      <c r="EG17" s="2394"/>
      <c r="EH17" s="2394"/>
      <c r="EI17" s="2394"/>
      <c r="EJ17" s="2394"/>
      <c r="EK17" s="2394"/>
      <c r="EL17" s="2394"/>
      <c r="EM17" s="2394"/>
      <c r="EN17" s="2394"/>
      <c r="EO17" s="2394"/>
      <c r="EP17" s="2394"/>
      <c r="EQ17" s="2394"/>
      <c r="ER17" s="2394"/>
      <c r="ES17" s="2394"/>
      <c r="ET17" s="2394"/>
      <c r="EU17" s="2394"/>
      <c r="EV17" s="2394"/>
      <c r="EW17" s="2394"/>
      <c r="EX17" s="2394"/>
      <c r="EY17" s="2394"/>
      <c r="EZ17" s="2394"/>
      <c r="FA17" s="2394"/>
      <c r="FB17" s="2394"/>
      <c r="FC17" s="2394"/>
      <c r="FD17" s="2394"/>
      <c r="FE17" s="2394"/>
      <c r="FF17" s="2394"/>
      <c r="FG17" s="2394"/>
      <c r="FH17" s="2394"/>
      <c r="FI17" s="2394"/>
      <c r="FJ17" s="2394"/>
      <c r="FK17" s="2394"/>
      <c r="FL17" s="2394"/>
      <c r="FM17" s="2394"/>
      <c r="FN17" s="2394"/>
      <c r="FO17" s="2394"/>
      <c r="FP17" s="2394"/>
      <c r="FQ17" s="2394"/>
      <c r="FR17" s="2394"/>
      <c r="FS17" s="2394"/>
      <c r="FT17" s="2394"/>
      <c r="FU17" s="2394"/>
      <c r="FV17" s="2394"/>
      <c r="FW17" s="2407"/>
      <c r="FX17" s="679"/>
    </row>
    <row r="18" spans="1:184" s="2031" customFormat="1" ht="12" hidden="1" customHeight="1">
      <c r="B18" s="835"/>
      <c r="E18" s="848"/>
      <c r="F18" s="1094"/>
      <c r="G18" s="1094"/>
      <c r="H18" s="1094"/>
      <c r="I18" s="1094"/>
      <c r="J18" s="1095"/>
      <c r="K18" s="1095"/>
      <c r="L18" s="1095"/>
      <c r="M18" s="1095"/>
      <c r="N18" s="1095"/>
      <c r="O18" s="1094"/>
      <c r="P18" s="1094"/>
      <c r="Q18" s="1094"/>
      <c r="R18" s="1094"/>
      <c r="S18" s="1094"/>
      <c r="T18" s="1094"/>
      <c r="U18" s="1096"/>
      <c r="V18" s="1096"/>
      <c r="W18" s="1096"/>
      <c r="X18" s="1096"/>
      <c r="Y18" s="1096"/>
      <c r="Z18" s="1096"/>
      <c r="AA18" s="1096"/>
      <c r="AB18" s="1094"/>
      <c r="AC18" s="1095"/>
      <c r="AD18" s="1095"/>
      <c r="AE18" s="1095"/>
      <c r="AF18" s="1095"/>
      <c r="AG18" s="1095"/>
      <c r="AH18" s="1095"/>
      <c r="AI18" s="1095"/>
      <c r="AJ18" s="1095"/>
      <c r="AK18" s="1095"/>
      <c r="AL18" s="1095"/>
      <c r="AM18" s="1095"/>
      <c r="AN18" s="1095"/>
      <c r="AO18" s="1095"/>
      <c r="AP18" s="1095"/>
      <c r="AQ18" s="1095"/>
      <c r="AR18" s="1095"/>
      <c r="AS18" s="1095"/>
      <c r="AT18" s="1095"/>
      <c r="AU18" s="1095"/>
      <c r="AV18" s="1095"/>
      <c r="AW18" s="1095"/>
      <c r="AX18" s="1095"/>
      <c r="AY18" s="1095"/>
      <c r="AZ18" s="1095"/>
      <c r="BA18" s="1095"/>
      <c r="BB18" s="1095"/>
      <c r="BC18" s="1095"/>
      <c r="BD18" s="1095"/>
      <c r="BE18" s="1095"/>
      <c r="BF18" s="1095"/>
      <c r="BG18" s="1095"/>
      <c r="BH18" s="1095"/>
      <c r="BI18" s="1095"/>
      <c r="BJ18" s="1095"/>
      <c r="BK18" s="1095"/>
      <c r="BL18" s="1095"/>
      <c r="BM18" s="1095"/>
      <c r="BN18" s="1095"/>
      <c r="BO18" s="1095"/>
      <c r="BP18" s="1095"/>
      <c r="BQ18" s="1095"/>
      <c r="BR18" s="1095"/>
      <c r="BS18" s="1095"/>
      <c r="BT18" s="1097"/>
      <c r="BU18" s="1097"/>
      <c r="BV18" s="1097"/>
      <c r="BW18" s="1097"/>
      <c r="BX18" s="1097"/>
      <c r="BY18" s="1097"/>
      <c r="BZ18" s="1097"/>
      <c r="CA18" s="1097"/>
      <c r="CB18" s="1097"/>
      <c r="CC18" s="1097"/>
      <c r="CD18" s="1097"/>
      <c r="CE18" s="1097"/>
      <c r="CF18" s="1097"/>
      <c r="CG18" s="1097"/>
      <c r="CH18" s="1097"/>
      <c r="CI18" s="1097"/>
      <c r="CJ18" s="1097"/>
      <c r="CK18" s="1097"/>
      <c r="CL18" s="1095"/>
      <c r="CM18" s="1095"/>
      <c r="CN18" s="1095"/>
      <c r="CO18" s="1095"/>
      <c r="CP18" s="1095"/>
      <c r="CQ18" s="1095"/>
      <c r="CR18" s="1095"/>
      <c r="CS18" s="1095"/>
      <c r="CT18" s="1095"/>
      <c r="CU18" s="1095"/>
      <c r="CV18" s="1095"/>
      <c r="CW18" s="1095"/>
      <c r="CX18" s="1095"/>
      <c r="CY18" s="1097"/>
      <c r="CZ18" s="1097"/>
      <c r="DA18" s="1097"/>
      <c r="DB18" s="1097"/>
      <c r="DC18" s="1097"/>
      <c r="DD18" s="1097"/>
      <c r="DE18" s="1097"/>
      <c r="DF18" s="1097"/>
      <c r="DG18" s="1097"/>
      <c r="DH18" s="1097"/>
      <c r="DI18" s="1097"/>
      <c r="DJ18" s="1097"/>
      <c r="DK18" s="1095"/>
      <c r="DL18" s="1095"/>
      <c r="DM18" s="1095"/>
      <c r="DN18" s="1095"/>
      <c r="DO18" s="1095"/>
      <c r="DP18" s="1095"/>
      <c r="DQ18" s="1095"/>
      <c r="DR18" s="1095"/>
      <c r="DS18" s="1095"/>
      <c r="DT18" s="1095"/>
      <c r="DU18" s="1095"/>
      <c r="DV18" s="1095"/>
      <c r="DW18" s="1095"/>
      <c r="DX18" s="1095"/>
      <c r="DY18" s="1095"/>
      <c r="DZ18" s="1095"/>
      <c r="EA18" s="1095"/>
      <c r="EB18" s="1095"/>
      <c r="EC18" s="1095"/>
      <c r="ED18" s="1095"/>
      <c r="EE18" s="1095"/>
      <c r="EF18" s="1095"/>
      <c r="EG18" s="1095"/>
      <c r="EH18" s="1095"/>
      <c r="EI18" s="1095"/>
      <c r="EJ18" s="1095"/>
      <c r="EK18" s="1095"/>
      <c r="EL18" s="1095"/>
      <c r="EM18" s="1095"/>
      <c r="EN18" s="1095"/>
      <c r="EO18" s="1095"/>
      <c r="EP18" s="1095"/>
      <c r="EQ18" s="1095"/>
      <c r="ER18" s="1095"/>
      <c r="ES18" s="1095"/>
      <c r="ET18" s="1095"/>
      <c r="EU18" s="1095"/>
      <c r="EV18" s="1095"/>
      <c r="EW18" s="1095"/>
      <c r="EX18" s="1095"/>
      <c r="EY18" s="1095"/>
      <c r="EZ18" s="1095"/>
      <c r="FA18" s="1095"/>
      <c r="FB18" s="1095"/>
      <c r="FC18" s="1095"/>
      <c r="FD18" s="1095"/>
      <c r="FE18" s="1095"/>
      <c r="FF18" s="1095"/>
      <c r="FG18" s="1095"/>
      <c r="FH18" s="1095"/>
      <c r="FI18" s="1095"/>
      <c r="FJ18" s="1095"/>
      <c r="FK18" s="1095"/>
      <c r="FL18" s="1095"/>
      <c r="FM18" s="1095"/>
      <c r="FN18" s="1095"/>
      <c r="FO18" s="1095"/>
      <c r="FP18" s="1095"/>
      <c r="FQ18" s="1095"/>
      <c r="FR18" s="1095"/>
      <c r="FS18" s="1095"/>
      <c r="FT18" s="1095"/>
      <c r="FU18" s="1095"/>
      <c r="FV18" s="1095"/>
      <c r="FW18" s="1094"/>
      <c r="FX18" s="1098"/>
    </row>
    <row r="19" spans="1:184" s="2031" customFormat="1" ht="11.25" hidden="1" customHeight="1">
      <c r="B19" s="835"/>
      <c r="E19" s="848"/>
      <c r="F19" s="1094"/>
      <c r="G19" s="1094"/>
      <c r="H19" s="1094"/>
      <c r="I19" s="1094"/>
      <c r="J19" s="1094"/>
      <c r="K19" s="1094"/>
      <c r="L19" s="1094"/>
      <c r="M19" s="1094"/>
      <c r="N19" s="1094"/>
      <c r="O19" s="1094"/>
      <c r="P19" s="1094"/>
      <c r="Q19" s="1094"/>
      <c r="R19" s="1094"/>
      <c r="S19" s="1094"/>
      <c r="T19" s="1094"/>
      <c r="U19" s="1096"/>
      <c r="V19" s="1096"/>
      <c r="W19" s="1096"/>
      <c r="X19" s="1096"/>
      <c r="Y19" s="1096"/>
      <c r="Z19" s="1096"/>
      <c r="AA19" s="1096"/>
      <c r="AB19" s="1094"/>
      <c r="AC19" s="1094"/>
      <c r="AD19" s="1094"/>
      <c r="AE19" s="1094"/>
      <c r="AF19" s="1094"/>
      <c r="AG19" s="1094"/>
      <c r="AH19" s="1094"/>
      <c r="AI19" s="1094"/>
      <c r="AJ19" s="1094"/>
      <c r="AK19" s="1094"/>
      <c r="AL19" s="1094"/>
      <c r="AM19" s="1094"/>
      <c r="AN19" s="1094"/>
      <c r="AO19" s="1094"/>
      <c r="AP19" s="1094"/>
      <c r="AQ19" s="1094"/>
      <c r="AR19" s="1094"/>
      <c r="AS19" s="1094"/>
      <c r="AT19" s="1094"/>
      <c r="AU19" s="1094"/>
      <c r="AV19" s="1094"/>
      <c r="AW19" s="1094"/>
      <c r="AX19" s="1094"/>
      <c r="AY19" s="1094"/>
      <c r="AZ19" s="1094"/>
      <c r="BA19" s="1094"/>
      <c r="BB19" s="1094"/>
      <c r="BC19" s="1094"/>
      <c r="BD19" s="1094"/>
      <c r="BE19" s="1094"/>
      <c r="BF19" s="1094"/>
      <c r="BG19" s="1094"/>
      <c r="BH19" s="1094"/>
      <c r="BI19" s="1094"/>
      <c r="BJ19" s="1094"/>
      <c r="BK19" s="1094"/>
      <c r="BL19" s="1094"/>
      <c r="BM19" s="1094"/>
      <c r="BN19" s="1094"/>
      <c r="BO19" s="1094"/>
      <c r="BP19" s="1094"/>
      <c r="BQ19" s="1094"/>
      <c r="BR19" s="1094"/>
      <c r="BS19" s="1094"/>
      <c r="BT19" s="1094"/>
      <c r="BU19" s="1094"/>
      <c r="BV19" s="1094"/>
      <c r="BW19" s="1094"/>
      <c r="BX19" s="1094"/>
      <c r="BY19" s="1094"/>
      <c r="BZ19" s="1094"/>
      <c r="CA19" s="1094"/>
      <c r="CB19" s="1094"/>
      <c r="CC19" s="1094"/>
      <c r="CD19" s="1094"/>
      <c r="CE19" s="1094"/>
      <c r="CF19" s="1094"/>
      <c r="CG19" s="1094"/>
      <c r="CH19" s="1094"/>
      <c r="CI19" s="1094"/>
      <c r="CJ19" s="1094"/>
      <c r="CK19" s="1094"/>
      <c r="CL19" s="1094"/>
      <c r="CM19" s="1094"/>
      <c r="CN19" s="1094"/>
      <c r="CO19" s="1094"/>
      <c r="CP19" s="1094"/>
      <c r="CQ19" s="1094"/>
      <c r="CR19" s="1094"/>
      <c r="CS19" s="1094"/>
      <c r="CT19" s="1094"/>
      <c r="CU19" s="1094"/>
      <c r="CV19" s="1094"/>
      <c r="CW19" s="1094"/>
      <c r="CX19" s="1094"/>
      <c r="CY19" s="1094"/>
      <c r="CZ19" s="1094"/>
      <c r="DA19" s="1094"/>
      <c r="DB19" s="1094"/>
      <c r="DC19" s="1094"/>
      <c r="DD19" s="1094"/>
      <c r="DE19" s="1094"/>
      <c r="DF19" s="1094"/>
      <c r="DG19" s="1094"/>
      <c r="DH19" s="1094"/>
      <c r="DI19" s="1094"/>
      <c r="DJ19" s="1094"/>
      <c r="DK19" s="1094"/>
      <c r="DL19" s="1094"/>
      <c r="DM19" s="1094"/>
      <c r="DN19" s="1094"/>
      <c r="DO19" s="1094"/>
      <c r="DP19" s="1094"/>
      <c r="DQ19" s="1094"/>
      <c r="DR19" s="1094"/>
      <c r="DS19" s="1094"/>
      <c r="DT19" s="1094"/>
      <c r="DU19" s="1094"/>
      <c r="DV19" s="1094"/>
      <c r="DW19" s="1094"/>
      <c r="DX19" s="1094"/>
      <c r="DY19" s="1094"/>
      <c r="DZ19" s="1094"/>
      <c r="EA19" s="1094"/>
      <c r="EB19" s="1094"/>
      <c r="EC19" s="1094"/>
      <c r="ED19" s="1094"/>
      <c r="EE19" s="1094"/>
      <c r="EF19" s="1094"/>
      <c r="EG19" s="1094"/>
      <c r="EH19" s="1094"/>
      <c r="EI19" s="1094"/>
      <c r="EJ19" s="1094"/>
      <c r="EK19" s="1094"/>
      <c r="EL19" s="1094"/>
      <c r="EM19" s="1094"/>
      <c r="EN19" s="1094"/>
      <c r="EO19" s="1094"/>
      <c r="EP19" s="1094"/>
      <c r="EQ19" s="1094"/>
      <c r="ER19" s="1094"/>
      <c r="ES19" s="1094"/>
      <c r="ET19" s="1094"/>
      <c r="EU19" s="1094"/>
      <c r="EV19" s="1094"/>
      <c r="EW19" s="1094"/>
      <c r="EX19" s="1094"/>
      <c r="EY19" s="1094"/>
      <c r="EZ19" s="1094"/>
      <c r="FA19" s="1094"/>
      <c r="FB19" s="1094"/>
      <c r="FC19" s="1094"/>
      <c r="FD19" s="1094"/>
      <c r="FE19" s="1094"/>
      <c r="FF19" s="1094"/>
      <c r="FG19" s="1094"/>
      <c r="FH19" s="1094"/>
      <c r="FI19" s="1094"/>
      <c r="FJ19" s="1094"/>
      <c r="FK19" s="1094"/>
      <c r="FL19" s="1094"/>
      <c r="FM19" s="1094"/>
      <c r="FN19" s="1094"/>
      <c r="FO19" s="1094"/>
      <c r="FP19" s="1094"/>
      <c r="FQ19" s="1094"/>
      <c r="FR19" s="1094"/>
      <c r="FS19" s="1094"/>
      <c r="FT19" s="1094"/>
      <c r="FU19" s="1094"/>
      <c r="FV19" s="1094"/>
      <c r="FW19" s="1094"/>
      <c r="FX19" s="1098"/>
    </row>
    <row r="20" spans="1:184" s="2030" customFormat="1" ht="11.25" hidden="1" customHeight="1">
      <c r="B20" s="849"/>
      <c r="D20" s="836"/>
      <c r="E20" s="848"/>
      <c r="F20" s="1099" t="s">
        <v>367</v>
      </c>
      <c r="G20" s="1100"/>
      <c r="H20" s="1101"/>
      <c r="I20" s="1101"/>
      <c r="J20" s="1101"/>
      <c r="K20" s="1101"/>
      <c r="L20" s="1101"/>
      <c r="M20" s="1101"/>
      <c r="N20" s="1101"/>
      <c r="O20" s="1100"/>
      <c r="P20" s="1100"/>
      <c r="Q20" s="1100"/>
      <c r="R20" s="1100"/>
      <c r="S20" s="1100"/>
      <c r="T20" s="1100"/>
      <c r="U20" s="1102"/>
      <c r="V20" s="1102"/>
      <c r="W20" s="1102"/>
      <c r="X20" s="1102"/>
      <c r="Y20" s="1102"/>
      <c r="Z20" s="1102"/>
      <c r="AA20" s="1102"/>
      <c r="AB20" s="1100"/>
      <c r="AC20" s="1101"/>
      <c r="AD20" s="1101"/>
      <c r="AE20" s="1101"/>
      <c r="AF20" s="1101"/>
      <c r="AG20" s="1101"/>
      <c r="AH20" s="1101"/>
      <c r="AI20" s="1101"/>
      <c r="AJ20" s="1101"/>
      <c r="AK20" s="1101"/>
      <c r="AL20" s="1101"/>
      <c r="AM20" s="1101"/>
      <c r="AN20" s="1101"/>
      <c r="AO20" s="1101"/>
      <c r="AP20" s="1101"/>
      <c r="AQ20" s="1101"/>
      <c r="AR20" s="1101"/>
      <c r="AS20" s="1101"/>
      <c r="AT20" s="1101"/>
      <c r="AU20" s="1101"/>
      <c r="AV20" s="1101"/>
      <c r="AW20" s="1101"/>
      <c r="AX20" s="1101"/>
      <c r="AY20" s="1101"/>
      <c r="AZ20" s="1101"/>
      <c r="BA20" s="1101"/>
      <c r="BB20" s="1101"/>
      <c r="BC20" s="1101"/>
      <c r="BD20" s="1101"/>
      <c r="BE20" s="1101"/>
      <c r="BF20" s="1101"/>
      <c r="BG20" s="1101"/>
      <c r="BH20" s="1101"/>
      <c r="BI20" s="1101"/>
      <c r="BJ20" s="1101"/>
      <c r="BK20" s="1101"/>
      <c r="BL20" s="1101"/>
      <c r="BM20" s="1101"/>
      <c r="BN20" s="1101"/>
      <c r="BO20" s="1101"/>
      <c r="BP20" s="1101"/>
      <c r="BQ20" s="1101"/>
      <c r="BR20" s="1101"/>
      <c r="BS20" s="1101"/>
      <c r="BT20" s="1101"/>
      <c r="BU20" s="1101"/>
      <c r="BV20" s="1101"/>
      <c r="BW20" s="1101"/>
      <c r="BX20" s="1101"/>
      <c r="BY20" s="1101"/>
      <c r="BZ20" s="1101"/>
      <c r="CA20" s="1101"/>
      <c r="CB20" s="1101"/>
      <c r="CC20" s="1101"/>
      <c r="CD20" s="1101"/>
      <c r="CE20" s="1101"/>
      <c r="CF20" s="1101"/>
      <c r="CG20" s="1101"/>
      <c r="CH20" s="1101"/>
      <c r="CI20" s="1101"/>
      <c r="CJ20" s="1101"/>
      <c r="CK20" s="1101"/>
      <c r="CL20" s="1103"/>
      <c r="CM20" s="1103"/>
      <c r="CN20" s="1103"/>
      <c r="CO20" s="1103"/>
      <c r="CP20" s="1103"/>
      <c r="CQ20" s="1103"/>
      <c r="CR20" s="1103"/>
      <c r="CS20" s="1103"/>
      <c r="CT20" s="1103"/>
      <c r="CU20" s="1103"/>
      <c r="CV20" s="1103"/>
      <c r="CW20" s="1103"/>
      <c r="CX20" s="1103"/>
      <c r="CY20" s="1103"/>
      <c r="CZ20" s="1103"/>
      <c r="DA20" s="1103"/>
      <c r="DB20" s="1103"/>
      <c r="DC20" s="1103"/>
      <c r="DD20" s="1103"/>
      <c r="DE20" s="1103"/>
      <c r="DF20" s="1103"/>
      <c r="DG20" s="1103"/>
      <c r="DH20" s="1103"/>
      <c r="DI20" s="1103"/>
      <c r="DJ20" s="1103"/>
      <c r="DK20" s="1103"/>
      <c r="DL20" s="1103"/>
      <c r="DM20" s="1103"/>
      <c r="DN20" s="1103"/>
      <c r="DO20" s="1103"/>
      <c r="DP20" s="1103"/>
      <c r="DQ20" s="1103"/>
      <c r="DR20" s="1103"/>
      <c r="DS20" s="1103"/>
      <c r="DT20" s="1103"/>
      <c r="DU20" s="1103"/>
      <c r="DV20" s="1103"/>
      <c r="DW20" s="1103"/>
      <c r="DX20" s="1103"/>
      <c r="DY20" s="1103"/>
      <c r="DZ20" s="1103"/>
      <c r="EA20" s="1103"/>
      <c r="EB20" s="1103"/>
      <c r="EC20" s="1103"/>
      <c r="ED20" s="1103"/>
      <c r="EE20" s="1103"/>
      <c r="EF20" s="1103"/>
      <c r="EG20" s="1103"/>
      <c r="EH20" s="1103"/>
      <c r="EI20" s="1103"/>
      <c r="EJ20" s="1103"/>
      <c r="EK20" s="1103"/>
      <c r="EL20" s="1103"/>
      <c r="EM20" s="1103"/>
      <c r="EN20" s="1103"/>
      <c r="EO20" s="1103"/>
      <c r="EP20" s="1103"/>
      <c r="EQ20" s="1103"/>
      <c r="ER20" s="1103"/>
      <c r="ES20" s="1103"/>
      <c r="ET20" s="1103"/>
      <c r="EU20" s="1103"/>
      <c r="EV20" s="1103"/>
      <c r="EW20" s="1103"/>
      <c r="EX20" s="1103"/>
      <c r="EY20" s="1103"/>
      <c r="EZ20" s="1103"/>
      <c r="FA20" s="1103"/>
      <c r="FB20" s="1103"/>
      <c r="FC20" s="1103"/>
      <c r="FD20" s="1103"/>
      <c r="FE20" s="1103"/>
      <c r="FF20" s="1103"/>
      <c r="FG20" s="1103"/>
      <c r="FH20" s="1103"/>
      <c r="FI20" s="1103"/>
      <c r="FJ20" s="1103"/>
      <c r="FK20" s="1103"/>
      <c r="FL20" s="1103"/>
      <c r="FM20" s="1103"/>
      <c r="FN20" s="1103"/>
      <c r="FO20" s="1103"/>
      <c r="FP20" s="1103"/>
      <c r="FQ20" s="1103"/>
      <c r="FR20" s="1103"/>
      <c r="FS20" s="1103"/>
      <c r="FT20" s="1103"/>
      <c r="FU20" s="1103"/>
      <c r="FV20" s="1103"/>
      <c r="FW20" s="1103"/>
      <c r="FX20" s="1104"/>
    </row>
    <row r="21" spans="1:184" s="2030" customFormat="1" ht="12" customHeight="1">
      <c r="A21" s="850"/>
      <c r="B21" s="850"/>
      <c r="C21" s="850"/>
      <c r="D21" s="850"/>
      <c r="E21" s="850"/>
      <c r="F21" s="848"/>
      <c r="G21" s="848"/>
      <c r="H21" s="848"/>
      <c r="I21" s="848"/>
      <c r="J21" s="848"/>
      <c r="K21" s="848"/>
      <c r="L21" s="848"/>
      <c r="M21" s="848"/>
      <c r="N21" s="848"/>
      <c r="O21" s="848"/>
      <c r="P21" s="848"/>
      <c r="Q21" s="848"/>
      <c r="R21" s="848"/>
      <c r="S21" s="851"/>
      <c r="T21" s="851"/>
      <c r="U21" s="848"/>
      <c r="V21" s="848"/>
      <c r="W21" s="848"/>
      <c r="X21" s="848"/>
      <c r="Y21" s="848"/>
      <c r="Z21" s="848"/>
      <c r="AA21" s="848"/>
      <c r="AB21" s="848"/>
      <c r="AC21" s="848"/>
      <c r="AD21" s="848"/>
      <c r="AE21" s="848"/>
      <c r="AF21" s="848"/>
      <c r="AG21" s="848"/>
      <c r="AH21" s="848"/>
      <c r="AI21" s="848"/>
      <c r="AJ21" s="848"/>
      <c r="AK21" s="848"/>
      <c r="AL21" s="848"/>
      <c r="AM21" s="848"/>
      <c r="AN21" s="848"/>
      <c r="AO21" s="848"/>
      <c r="AP21" s="848"/>
      <c r="AQ21" s="848"/>
      <c r="AR21" s="848"/>
      <c r="AS21" s="848"/>
      <c r="AT21" s="848"/>
      <c r="AU21" s="848"/>
      <c r="AV21" s="848"/>
      <c r="AW21" s="848"/>
      <c r="AX21" s="848"/>
      <c r="AY21" s="848"/>
      <c r="AZ21" s="848"/>
      <c r="BA21" s="848"/>
      <c r="BB21" s="848"/>
      <c r="BC21" s="848"/>
      <c r="BD21" s="848"/>
      <c r="BE21" s="848"/>
      <c r="BF21" s="848"/>
      <c r="BG21" s="848"/>
      <c r="BH21" s="848"/>
      <c r="BI21" s="848"/>
      <c r="BJ21" s="848"/>
      <c r="BK21" s="848"/>
      <c r="BL21" s="848"/>
      <c r="BM21" s="848"/>
      <c r="BN21" s="848"/>
      <c r="BO21" s="848"/>
      <c r="BP21" s="848"/>
      <c r="BQ21" s="848"/>
      <c r="BR21" s="848"/>
      <c r="BS21" s="848"/>
      <c r="BT21" s="848"/>
      <c r="BU21" s="848"/>
      <c r="BV21" s="848"/>
      <c r="BW21" s="848"/>
      <c r="BX21" s="848"/>
      <c r="BY21" s="848"/>
      <c r="BZ21" s="848"/>
      <c r="CA21" s="848"/>
      <c r="CB21" s="848"/>
      <c r="CC21" s="848"/>
      <c r="CD21" s="848"/>
      <c r="CE21" s="848"/>
      <c r="CF21" s="848"/>
      <c r="CG21" s="848"/>
      <c r="CH21" s="848"/>
      <c r="CI21" s="848"/>
      <c r="CJ21" s="848"/>
      <c r="CK21" s="848"/>
      <c r="CL21" s="848"/>
      <c r="CM21" s="848"/>
      <c r="CN21" s="848"/>
      <c r="CO21" s="848"/>
      <c r="CP21" s="848"/>
      <c r="CQ21" s="848"/>
      <c r="CR21" s="848"/>
      <c r="CS21" s="848"/>
      <c r="CT21" s="848"/>
      <c r="CU21" s="848"/>
      <c r="CV21" s="848"/>
      <c r="CW21" s="848"/>
      <c r="CX21" s="848"/>
      <c r="CY21" s="848"/>
      <c r="CZ21" s="848"/>
      <c r="DA21" s="848"/>
      <c r="DB21" s="848"/>
      <c r="DC21" s="848"/>
      <c r="DD21" s="848"/>
      <c r="DE21" s="848"/>
      <c r="DF21" s="848"/>
      <c r="DG21" s="848"/>
      <c r="DH21" s="848"/>
      <c r="DI21" s="848"/>
      <c r="DJ21" s="848"/>
      <c r="DK21" s="848"/>
      <c r="DL21" s="848"/>
      <c r="DM21" s="848"/>
      <c r="DN21" s="848"/>
      <c r="DO21" s="848"/>
      <c r="DP21" s="848"/>
      <c r="DQ21" s="848"/>
      <c r="DR21" s="848"/>
      <c r="DS21" s="848"/>
      <c r="DT21" s="848"/>
      <c r="DU21" s="848"/>
      <c r="DV21" s="848"/>
      <c r="DW21" s="848"/>
      <c r="DX21" s="848"/>
      <c r="DY21" s="848"/>
      <c r="DZ21" s="848"/>
      <c r="EA21" s="848"/>
      <c r="EB21" s="848"/>
      <c r="EC21" s="848"/>
      <c r="ED21" s="848"/>
      <c r="EE21" s="848"/>
      <c r="EF21" s="848"/>
      <c r="EG21" s="848"/>
      <c r="EH21" s="848"/>
      <c r="EI21" s="848"/>
      <c r="EJ21" s="848"/>
      <c r="EK21" s="848"/>
      <c r="EL21" s="848"/>
      <c r="EM21" s="848"/>
      <c r="EN21" s="848"/>
      <c r="EO21" s="848"/>
      <c r="EP21" s="848"/>
      <c r="EQ21" s="848"/>
      <c r="ER21" s="848"/>
      <c r="ES21" s="848"/>
      <c r="ET21" s="848"/>
      <c r="EU21" s="848"/>
      <c r="EV21" s="848"/>
      <c r="EW21" s="848"/>
      <c r="EX21" s="848"/>
      <c r="EY21" s="848"/>
      <c r="EZ21" s="848"/>
      <c r="FA21" s="848"/>
      <c r="FB21" s="848"/>
      <c r="FC21" s="848"/>
      <c r="FD21" s="848"/>
      <c r="FE21" s="848"/>
      <c r="FF21" s="848"/>
      <c r="FG21" s="848"/>
      <c r="FH21" s="848"/>
      <c r="FI21" s="848"/>
      <c r="FJ21" s="848"/>
      <c r="FK21" s="848"/>
      <c r="FL21" s="848"/>
      <c r="FM21" s="848"/>
      <c r="FN21" s="848"/>
      <c r="FO21" s="848"/>
      <c r="FP21" s="848"/>
      <c r="FQ21" s="848"/>
      <c r="FR21" s="848"/>
      <c r="FS21" s="848"/>
      <c r="FT21" s="848"/>
      <c r="FU21" s="848"/>
      <c r="FV21" s="848"/>
      <c r="FW21" s="848"/>
      <c r="FX21" s="850"/>
      <c r="FY21" s="850"/>
      <c r="FZ21" s="850"/>
      <c r="GA21" s="850"/>
      <c r="GB21" s="850"/>
    </row>
    <row r="22" spans="1:184" s="2030" customFormat="1" ht="12" customHeight="1">
      <c r="A22" s="850"/>
      <c r="B22" s="850"/>
      <c r="C22" s="850"/>
      <c r="D22" s="850"/>
      <c r="E22" s="850"/>
      <c r="FX22" s="850"/>
      <c r="FY22" s="850"/>
      <c r="FZ22" s="850"/>
      <c r="GA22" s="850"/>
      <c r="GB22" s="850"/>
    </row>
    <row r="23" spans="1:184" s="2036" customFormat="1" ht="12" customHeight="1">
      <c r="A23" s="969"/>
      <c r="B23" s="969"/>
      <c r="C23" s="969"/>
      <c r="D23" s="969"/>
      <c r="E23" s="969"/>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c r="AL23" s="970"/>
      <c r="AM23" s="970"/>
      <c r="AN23" s="970"/>
      <c r="AO23" s="970"/>
      <c r="AP23" s="970"/>
      <c r="AQ23" s="970"/>
      <c r="AR23" s="970"/>
      <c r="AS23" s="970"/>
      <c r="AT23" s="970"/>
      <c r="AU23" s="970"/>
      <c r="AV23" s="970"/>
      <c r="AW23" s="970"/>
      <c r="AX23" s="970"/>
      <c r="AY23" s="970"/>
      <c r="AZ23" s="970"/>
      <c r="BA23" s="970"/>
      <c r="BB23" s="970"/>
      <c r="BC23" s="970"/>
      <c r="BD23" s="970"/>
      <c r="BE23" s="970"/>
      <c r="BF23" s="970"/>
      <c r="BG23" s="970"/>
      <c r="BH23" s="970"/>
      <c r="BI23" s="970"/>
      <c r="BJ23" s="970"/>
      <c r="BK23" s="970"/>
      <c r="BL23" s="970"/>
      <c r="BM23" s="970"/>
      <c r="BN23" s="970"/>
      <c r="BO23" s="970"/>
      <c r="BP23" s="970"/>
      <c r="BQ23" s="970"/>
      <c r="BR23" s="970"/>
      <c r="BS23" s="970"/>
      <c r="BT23" s="971"/>
      <c r="BU23" s="971"/>
      <c r="BV23" s="971"/>
      <c r="BW23" s="971"/>
      <c r="BX23" s="971"/>
      <c r="BY23" s="971"/>
      <c r="BZ23" s="971"/>
      <c r="CA23" s="971"/>
      <c r="CB23" s="971"/>
      <c r="CC23" s="971"/>
      <c r="CD23" s="971"/>
      <c r="CE23" s="971"/>
      <c r="CF23" s="971"/>
      <c r="CG23" s="971"/>
      <c r="CH23" s="971"/>
      <c r="CI23" s="971"/>
      <c r="CJ23" s="971"/>
      <c r="CK23" s="971"/>
      <c r="CL23" s="971"/>
      <c r="CM23" s="971"/>
      <c r="CN23" s="971"/>
      <c r="CO23" s="971"/>
      <c r="CP23" s="971"/>
      <c r="CQ23" s="971"/>
      <c r="CR23" s="971"/>
      <c r="CS23" s="971"/>
      <c r="CT23" s="971"/>
      <c r="CU23" s="971"/>
      <c r="CV23" s="971"/>
      <c r="CW23" s="971"/>
      <c r="CX23" s="971"/>
      <c r="CY23" s="971"/>
      <c r="CZ23" s="971"/>
      <c r="DA23" s="971"/>
      <c r="DB23" s="971"/>
      <c r="DC23" s="971"/>
      <c r="DD23" s="971"/>
      <c r="DE23" s="971"/>
      <c r="DF23" s="971"/>
      <c r="DG23" s="971"/>
      <c r="DH23" s="971"/>
      <c r="DI23" s="971"/>
      <c r="DJ23" s="971"/>
      <c r="DK23" s="971"/>
      <c r="DL23" s="971"/>
      <c r="DM23" s="971"/>
      <c r="DN23" s="971"/>
      <c r="DO23" s="971"/>
      <c r="DP23" s="971"/>
      <c r="DQ23" s="971"/>
      <c r="DR23" s="971"/>
      <c r="DS23" s="971"/>
      <c r="DT23" s="971"/>
      <c r="DU23" s="971"/>
      <c r="DV23" s="971"/>
      <c r="DW23" s="971"/>
      <c r="DX23" s="971"/>
      <c r="FX23" s="969"/>
      <c r="FY23" s="969"/>
      <c r="FZ23" s="969"/>
      <c r="GA23" s="969"/>
      <c r="GB23" s="969"/>
    </row>
    <row r="24" spans="1:184" ht="12" customHeight="1">
      <c r="S24" s="847"/>
      <c r="T24" s="847"/>
      <c r="U24" s="847"/>
      <c r="V24" s="847"/>
      <c r="W24" s="847"/>
      <c r="X24" s="847"/>
      <c r="Y24" s="847"/>
      <c r="Z24" s="847"/>
      <c r="AA24" s="847"/>
      <c r="AB24" s="847"/>
      <c r="FX24" s="847"/>
      <c r="FY24" s="847"/>
      <c r="FZ24" s="847"/>
      <c r="GA24" s="847"/>
      <c r="GB24" s="847"/>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xr:uid="{00000000-0002-0000-26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BCF72-887F-6A77-5D86-06DA72F7F5D8}">
  <sheetPr>
    <tabColor rgb="FFCCCCFF"/>
  </sheetPr>
  <dimension ref="A1:AL16"/>
  <sheetViews>
    <sheetView showGridLines="0" topLeftCell="C3" zoomScale="90" workbookViewId="0"/>
  </sheetViews>
  <sheetFormatPr defaultColWidth="9.140625" defaultRowHeight="11.25" customHeight="1"/>
  <cols>
    <col min="1" max="1" width="6.42578125" style="1843" hidden="1" customWidth="1"/>
    <col min="2" max="2" width="2" style="1843" hidden="1" customWidth="1"/>
    <col min="3" max="3" width="3.7109375" style="1843" customWidth="1"/>
    <col min="4" max="4" width="4.28515625" style="1843" customWidth="1"/>
    <col min="5" max="5" width="45" style="1843" customWidth="1"/>
    <col min="6" max="6" width="6.42578125" style="1843" customWidth="1"/>
    <col min="7" max="7" width="4.42578125" style="1843" customWidth="1"/>
    <col min="8" max="8" width="5.5703125" style="1843" customWidth="1"/>
    <col min="9" max="9" width="52.85546875" style="1843" customWidth="1"/>
    <col min="10" max="10" width="7" style="1843" customWidth="1"/>
    <col min="11" max="11" width="3.7109375" style="1843" customWidth="1"/>
    <col min="12" max="12" width="6.28515625" style="1843" customWidth="1"/>
    <col min="13" max="13" width="56.28515625" style="1843" customWidth="1"/>
    <col min="14" max="14" width="9.140625" style="1836"/>
    <col min="15" max="20" width="9.140625" style="1840" hidden="1"/>
    <col min="21" max="24" width="9.140625" style="1844" hidden="1"/>
    <col min="25" max="37" width="9.140625" style="1836" hidden="1"/>
    <col min="38" max="38" width="9.140625" style="1836"/>
  </cols>
  <sheetData>
    <row r="1" spans="1:38" ht="11.25" hidden="1" customHeight="1"/>
    <row r="2" spans="1:38" ht="11.25" hidden="1" customHeight="1"/>
    <row r="4" spans="1:38" ht="34.5" customHeight="1">
      <c r="A4" s="509"/>
      <c r="B4" s="509"/>
      <c r="D4" s="2136" t="str">
        <f>Титульный!E5</f>
        <v>Показатели, подлежащие раскрытию в сфере холодного водоснабжения (цены и тарифы)</v>
      </c>
      <c r="E4" s="2137"/>
      <c r="F4" s="2137"/>
      <c r="G4" s="2137"/>
      <c r="H4" s="2137"/>
      <c r="I4" s="2138"/>
      <c r="J4" s="508"/>
      <c r="K4" s="508"/>
      <c r="L4" s="508"/>
      <c r="M4" s="508"/>
    </row>
    <row r="5" spans="1:38" s="1837" customFormat="1" ht="15" customHeight="1">
      <c r="A5" s="509"/>
      <c r="B5" s="509"/>
      <c r="C5" s="509"/>
      <c r="D5" s="2139" t="str">
        <f>IF(org=0,"Не определено",org)</f>
        <v>ПАО "Юнипро"</v>
      </c>
      <c r="E5" s="2140"/>
      <c r="F5" s="2140"/>
      <c r="G5" s="2140"/>
      <c r="H5" s="2140"/>
      <c r="I5" s="2141"/>
      <c r="J5" s="510"/>
      <c r="K5" s="510"/>
      <c r="L5" s="510"/>
      <c r="M5" s="510"/>
      <c r="N5" s="510"/>
      <c r="O5" s="783"/>
      <c r="P5" s="783"/>
      <c r="Q5" s="783"/>
      <c r="R5" s="783"/>
      <c r="S5" s="783"/>
      <c r="T5" s="783"/>
      <c r="U5" s="1181"/>
      <c r="V5" s="1181"/>
      <c r="W5" s="1181"/>
      <c r="X5" s="1181"/>
      <c r="Y5" s="510"/>
      <c r="Z5" s="510"/>
      <c r="AA5" s="510"/>
      <c r="AB5" s="510"/>
      <c r="AC5" s="510"/>
      <c r="AD5" s="510"/>
      <c r="AE5" s="510"/>
      <c r="AF5" s="510"/>
      <c r="AG5" s="510"/>
      <c r="AH5" s="510"/>
      <c r="AI5" s="510"/>
      <c r="AJ5" s="510"/>
      <c r="AK5" s="510"/>
      <c r="AL5" s="510"/>
    </row>
    <row r="6" spans="1:38" s="1838" customFormat="1" ht="6" customHeight="1">
      <c r="A6" s="2118"/>
      <c r="B6" s="2118"/>
      <c r="C6" s="2118"/>
      <c r="D6" s="2118"/>
      <c r="E6" s="2118"/>
      <c r="F6" s="2118"/>
      <c r="G6" s="511"/>
      <c r="H6" s="511"/>
      <c r="I6" s="511"/>
      <c r="J6" s="511"/>
      <c r="K6" s="511"/>
      <c r="N6" s="513"/>
      <c r="O6" s="1330"/>
      <c r="P6" s="1330"/>
      <c r="Q6" s="1330"/>
      <c r="R6" s="1330"/>
      <c r="S6" s="1330"/>
      <c r="T6" s="1330"/>
      <c r="U6" s="1183"/>
      <c r="V6" s="1183"/>
      <c r="W6" s="1183"/>
      <c r="X6" s="1183"/>
      <c r="Y6" s="513"/>
      <c r="Z6" s="513"/>
      <c r="AA6" s="513"/>
      <c r="AB6" s="513"/>
      <c r="AC6" s="513"/>
      <c r="AD6" s="513"/>
      <c r="AE6" s="513"/>
      <c r="AF6" s="513"/>
      <c r="AG6" s="513"/>
      <c r="AH6" s="513"/>
      <c r="AI6" s="513"/>
      <c r="AJ6" s="513"/>
      <c r="AK6" s="513"/>
      <c r="AL6" s="513"/>
    </row>
    <row r="7" spans="1:38" ht="45.75" hidden="1" customHeight="1">
      <c r="E7" s="214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7"/>
      <c r="G7" s="2147"/>
      <c r="H7" s="2147"/>
      <c r="I7" s="2147"/>
      <c r="J7" s="2147"/>
      <c r="K7" s="2147"/>
      <c r="L7" s="2147"/>
      <c r="M7" s="2147"/>
    </row>
    <row r="8" spans="1:38" s="1837" customFormat="1" ht="6" customHeight="1">
      <c r="A8" s="514"/>
      <c r="B8" s="514"/>
      <c r="C8" s="514"/>
      <c r="D8" s="514"/>
      <c r="E8" s="514"/>
      <c r="F8" s="514"/>
      <c r="G8" s="514"/>
      <c r="H8" s="514"/>
      <c r="I8" s="514"/>
      <c r="J8" s="514"/>
      <c r="K8" s="514"/>
      <c r="L8" s="514"/>
      <c r="M8" s="512"/>
      <c r="N8" s="510"/>
      <c r="O8" s="783"/>
      <c r="P8" s="783"/>
      <c r="Q8" s="783"/>
      <c r="R8" s="783"/>
      <c r="S8" s="783"/>
      <c r="T8" s="783"/>
      <c r="U8" s="1181"/>
      <c r="V8" s="1181"/>
      <c r="W8" s="1181"/>
      <c r="X8" s="1181"/>
      <c r="Y8" s="510"/>
      <c r="Z8" s="510"/>
      <c r="AA8" s="510"/>
      <c r="AB8" s="510"/>
      <c r="AC8" s="510"/>
      <c r="AD8" s="510"/>
      <c r="AE8" s="510"/>
      <c r="AF8" s="510"/>
      <c r="AG8" s="510"/>
      <c r="AH8" s="510"/>
      <c r="AI8" s="510"/>
      <c r="AJ8" s="510"/>
      <c r="AK8" s="510"/>
      <c r="AL8" s="510"/>
    </row>
    <row r="9" spans="1:38" ht="18" customHeight="1">
      <c r="A9" s="2142"/>
      <c r="B9" s="248"/>
      <c r="C9" s="248"/>
      <c r="D9" s="2143" t="s">
        <v>104</v>
      </c>
      <c r="E9" s="2143"/>
      <c r="F9" s="2144" t="s">
        <v>105</v>
      </c>
      <c r="G9" s="2145"/>
      <c r="H9" s="2145"/>
      <c r="I9" s="2145"/>
      <c r="J9" s="2148" t="s">
        <v>106</v>
      </c>
      <c r="K9" s="2148"/>
      <c r="L9" s="2148"/>
      <c r="M9" s="2148"/>
    </row>
    <row r="10" spans="1:38" ht="22.5" customHeight="1">
      <c r="A10" s="2142"/>
      <c r="B10" s="515"/>
      <c r="C10" s="451"/>
      <c r="D10" s="449" t="s">
        <v>87</v>
      </c>
      <c r="E10" s="449" t="s">
        <v>88</v>
      </c>
      <c r="F10" s="449" t="s">
        <v>107</v>
      </c>
      <c r="G10" s="2149" t="s">
        <v>87</v>
      </c>
      <c r="H10" s="2150"/>
      <c r="I10" s="449" t="s">
        <v>88</v>
      </c>
      <c r="J10" s="449" t="s">
        <v>107</v>
      </c>
      <c r="K10" s="2149" t="s">
        <v>87</v>
      </c>
      <c r="L10" s="2150"/>
      <c r="M10" s="449" t="s">
        <v>88</v>
      </c>
      <c r="N10" s="1539"/>
    </row>
    <row r="11" spans="1:38" s="1839" customFormat="1" ht="11.25" hidden="1" customHeight="1">
      <c r="A11" s="516"/>
      <c r="B11" s="516"/>
      <c r="C11" s="516"/>
      <c r="D11" s="517" t="s">
        <v>108</v>
      </c>
      <c r="E11" s="517" t="s">
        <v>109</v>
      </c>
      <c r="F11" s="517" t="s">
        <v>89</v>
      </c>
      <c r="G11" s="2132" t="s">
        <v>90</v>
      </c>
      <c r="H11" s="2133"/>
      <c r="I11" s="517" t="s">
        <v>110</v>
      </c>
      <c r="J11" s="517" t="s">
        <v>91</v>
      </c>
      <c r="K11" s="2134" t="s">
        <v>92</v>
      </c>
      <c r="L11" s="2135"/>
      <c r="M11" s="517" t="s">
        <v>111</v>
      </c>
      <c r="N11" s="1538"/>
      <c r="O11" s="1329"/>
      <c r="P11" s="1331"/>
      <c r="Q11" s="1331"/>
      <c r="R11" s="1331"/>
      <c r="S11" s="1331"/>
      <c r="T11" s="1331"/>
      <c r="U11" s="1184"/>
      <c r="V11" s="1184"/>
      <c r="W11" s="1184"/>
      <c r="X11" s="1184"/>
      <c r="Y11" s="518"/>
      <c r="Z11" s="518"/>
      <c r="AA11" s="518"/>
      <c r="AB11" s="518"/>
      <c r="AC11" s="518"/>
      <c r="AD11" s="518"/>
      <c r="AE11" s="518"/>
      <c r="AF11" s="518"/>
      <c r="AG11" s="518"/>
      <c r="AH11" s="518"/>
      <c r="AI11" s="518"/>
      <c r="AJ11" s="518"/>
      <c r="AK11" s="518"/>
      <c r="AL11" s="518"/>
    </row>
    <row r="12" spans="1:38" ht="0.75" customHeight="1">
      <c r="A12" s="519"/>
      <c r="B12" s="520"/>
      <c r="C12" s="520"/>
      <c r="D12" s="521"/>
      <c r="E12" s="295"/>
      <c r="F12" s="522"/>
      <c r="G12" s="966"/>
      <c r="H12" s="966"/>
      <c r="I12" s="522"/>
      <c r="J12" s="522"/>
      <c r="K12" s="95"/>
      <c r="L12" s="295"/>
      <c r="M12" s="523"/>
      <c r="N12" s="1539"/>
      <c r="O12" s="1329" t="s">
        <v>112</v>
      </c>
      <c r="P12" s="1329" t="s">
        <v>113</v>
      </c>
      <c r="Q12" s="1329" t="s">
        <v>114</v>
      </c>
      <c r="R12" s="1329" t="s">
        <v>115</v>
      </c>
    </row>
    <row r="13" spans="1:38" s="1841" customFormat="1" ht="15" customHeight="1">
      <c r="A13" s="211"/>
      <c r="B13" s="211"/>
      <c r="C13" s="452"/>
      <c r="D13" s="2125" t="s">
        <v>108</v>
      </c>
      <c r="E13" s="2126"/>
      <c r="F13" s="2129" t="s">
        <v>61</v>
      </c>
      <c r="G13" s="2130"/>
      <c r="H13" s="2131">
        <v>1</v>
      </c>
      <c r="I13" s="2122" t="str">
        <f>IF(U13="","",INDEX(TERRITORY_MR_LIST,MATCH(U13,TERRITORY_LIST_ID,0)))</f>
        <v/>
      </c>
      <c r="J13" s="2124" t="s">
        <v>56</v>
      </c>
      <c r="K13" s="524"/>
      <c r="L13" s="453" t="s">
        <v>108</v>
      </c>
      <c r="M13" s="525" t="s">
        <v>24</v>
      </c>
      <c r="N13" s="729"/>
      <c r="O13" s="1332" t="s">
        <v>116</v>
      </c>
      <c r="P13" s="1329">
        <f>$E$13</f>
        <v>0</v>
      </c>
      <c r="Q13" s="1329" t="str">
        <f>IF($F$13="нет","без дифференциации",$I$13)</f>
        <v/>
      </c>
      <c r="R13" s="1329" t="str">
        <f>IF($J$13="нет","без дифференциации",M13)</f>
        <v>без дифференциации</v>
      </c>
      <c r="S13" s="1332"/>
      <c r="T13" s="1332"/>
      <c r="U13" s="1185"/>
      <c r="V13" s="1185"/>
      <c r="W13" s="1185"/>
      <c r="X13" s="1185"/>
      <c r="Y13" s="526" t="s">
        <v>117</v>
      </c>
      <c r="Z13" s="526">
        <v>1705000</v>
      </c>
      <c r="AA13" s="526"/>
      <c r="AB13" s="526"/>
      <c r="AC13" s="526"/>
      <c r="AD13" s="526"/>
      <c r="AE13" s="526"/>
      <c r="AF13" s="526"/>
      <c r="AG13" s="526"/>
      <c r="AH13" s="526"/>
      <c r="AI13" s="526"/>
      <c r="AJ13" s="526"/>
      <c r="AK13" s="526"/>
      <c r="AL13" s="526"/>
    </row>
    <row r="14" spans="1:38" s="1841" customFormat="1" ht="15" customHeight="1">
      <c r="A14" s="211"/>
      <c r="B14" s="211"/>
      <c r="C14" s="97"/>
      <c r="D14" s="2125"/>
      <c r="E14" s="2127"/>
      <c r="F14" s="2124"/>
      <c r="G14" s="2130"/>
      <c r="H14" s="2131"/>
      <c r="I14" s="2123"/>
      <c r="J14" s="2124"/>
      <c r="K14" s="354"/>
      <c r="L14" s="98"/>
      <c r="M14" s="528" t="s">
        <v>118</v>
      </c>
      <c r="N14" s="729"/>
      <c r="O14" s="1332"/>
      <c r="P14" s="1329"/>
      <c r="Q14" s="1329"/>
      <c r="R14" s="1329"/>
      <c r="S14" s="1332"/>
      <c r="T14" s="1332"/>
      <c r="U14" s="1185"/>
      <c r="V14" s="1185"/>
      <c r="W14" s="1185"/>
      <c r="X14" s="1185"/>
      <c r="Y14" s="526"/>
      <c r="Z14" s="526"/>
      <c r="AA14" s="526"/>
      <c r="AB14" s="526"/>
      <c r="AC14" s="526"/>
      <c r="AD14" s="526"/>
      <c r="AE14" s="526"/>
      <c r="AF14" s="526"/>
      <c r="AG14" s="526"/>
      <c r="AH14" s="526"/>
      <c r="AI14" s="526"/>
      <c r="AJ14" s="526"/>
      <c r="AK14" s="526"/>
      <c r="AL14" s="526"/>
    </row>
    <row r="15" spans="1:38" s="1841" customFormat="1" ht="15" customHeight="1">
      <c r="A15" s="211"/>
      <c r="B15" s="211"/>
      <c r="C15" s="97"/>
      <c r="D15" s="2125"/>
      <c r="E15" s="2128"/>
      <c r="F15" s="2124"/>
      <c r="G15" s="967"/>
      <c r="H15" s="968"/>
      <c r="I15" s="505" t="s">
        <v>119</v>
      </c>
      <c r="J15" s="98"/>
      <c r="K15" s="98"/>
      <c r="L15" s="98"/>
      <c r="M15" s="529"/>
      <c r="N15" s="729"/>
      <c r="O15" s="1332"/>
      <c r="P15" s="1329"/>
      <c r="Q15" s="1329"/>
      <c r="R15" s="1329"/>
      <c r="S15" s="1332"/>
      <c r="T15" s="1332"/>
      <c r="U15" s="1185"/>
      <c r="V15" s="1185"/>
      <c r="W15" s="1185"/>
      <c r="X15" s="1185"/>
      <c r="Y15" s="526"/>
      <c r="Z15" s="526"/>
      <c r="AA15" s="526"/>
      <c r="AB15" s="526"/>
      <c r="AC15" s="526"/>
      <c r="AD15" s="526"/>
      <c r="AE15" s="526"/>
      <c r="AF15" s="526"/>
      <c r="AG15" s="526"/>
      <c r="AH15" s="526"/>
      <c r="AI15" s="526"/>
      <c r="AJ15" s="526"/>
      <c r="AK15" s="526"/>
      <c r="AL15" s="526"/>
    </row>
    <row r="16" spans="1:38" ht="15" customHeight="1">
      <c r="A16" s="530"/>
      <c r="B16" s="61"/>
      <c r="C16" s="723"/>
      <c r="D16" s="354"/>
      <c r="E16" s="496" t="s">
        <v>120</v>
      </c>
      <c r="F16" s="98"/>
      <c r="G16" s="98"/>
      <c r="H16" s="98"/>
      <c r="I16" s="98"/>
      <c r="J16" s="98"/>
      <c r="K16" s="98" t="s">
        <v>24</v>
      </c>
      <c r="L16" s="98"/>
      <c r="M16" s="529"/>
      <c r="N16" s="1539"/>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A5037-DF47-7E3C-1B8C-96025D93CCBC}">
  <sheetPr>
    <tabColor theme="2" tint="-9.9978637043366805E-2"/>
  </sheetPr>
  <dimension ref="A1:R22"/>
  <sheetViews>
    <sheetView showGridLines="0" topLeftCell="C4" zoomScale="90" workbookViewId="0"/>
  </sheetViews>
  <sheetFormatPr defaultColWidth="10.5703125" defaultRowHeight="15" customHeight="1"/>
  <cols>
    <col min="1" max="1" width="9.140625" style="1920" hidden="1" customWidth="1"/>
    <col min="2" max="2" width="9.140625" style="1922" hidden="1" customWidth="1"/>
    <col min="3" max="3" width="4.7109375" style="2024" customWidth="1"/>
    <col min="4" max="4" width="6.28515625" style="1922" customWidth="1"/>
    <col min="5" max="5" width="36.7109375" style="1922" customWidth="1"/>
    <col min="6" max="6" width="9.5703125" style="1922" customWidth="1"/>
    <col min="7" max="7" width="42.42578125" style="1823" hidden="1" customWidth="1"/>
    <col min="8" max="8" width="40.7109375" style="1922" customWidth="1"/>
    <col min="9" max="9" width="93.42578125" style="1824" customWidth="1"/>
    <col min="10" max="17" width="10.5703125" style="1922"/>
    <col min="18" max="18" width="10.5703125" style="2023"/>
  </cols>
  <sheetData>
    <row r="1" spans="1:18" s="1824" customFormat="1" ht="15" hidden="1" customHeight="1">
      <c r="C1" s="593"/>
      <c r="H1" s="351">
        <v>4</v>
      </c>
      <c r="R1" s="353"/>
    </row>
    <row r="2" spans="1:18" ht="22.5" hidden="1" customHeight="1">
      <c r="D2" s="464"/>
      <c r="E2" s="584"/>
      <c r="F2" s="1670" t="str">
        <f>IF(TEMPLATE_SPHERE="HEAT","Гкал/час","тыс. куб. м/сутки")</f>
        <v>тыс. куб. м/сутки</v>
      </c>
      <c r="G2" s="601"/>
      <c r="H2" s="601"/>
      <c r="I2" s="207"/>
    </row>
    <row r="3" spans="1:18" s="1824" customFormat="1" ht="15" hidden="1" customHeight="1">
      <c r="C3" s="593"/>
      <c r="R3" s="353"/>
    </row>
    <row r="4" spans="1:18" ht="15" customHeight="1">
      <c r="C4" s="97"/>
      <c r="D4" s="435"/>
      <c r="E4" s="435"/>
      <c r="F4" s="435"/>
      <c r="G4" s="435"/>
      <c r="H4" s="435"/>
    </row>
    <row r="5" spans="1:18" ht="37.5" customHeight="1">
      <c r="C5" s="97"/>
      <c r="D5" s="225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54"/>
      <c r="F5" s="2254"/>
      <c r="G5" s="2254"/>
      <c r="H5" s="2254"/>
      <c r="I5" s="462"/>
    </row>
    <row r="6" spans="1:18" ht="15" customHeight="1">
      <c r="C6" s="97"/>
      <c r="D6" s="2200" t="str">
        <f>IF(org=0,"Не определено",org)</f>
        <v>ПАО "Юнипро"</v>
      </c>
      <c r="E6" s="2200"/>
      <c r="F6" s="2200"/>
      <c r="G6" s="2200"/>
      <c r="H6" s="2200"/>
      <c r="I6" s="462"/>
    </row>
    <row r="7" spans="1:18" s="1823" customFormat="1" ht="15" customHeight="1">
      <c r="A7" s="676"/>
      <c r="C7" s="97"/>
      <c r="D7" s="597"/>
      <c r="E7" s="597"/>
      <c r="F7" s="597"/>
      <c r="G7" s="597"/>
      <c r="H7" s="669"/>
      <c r="I7" s="462"/>
      <c r="R7" s="596"/>
    </row>
    <row r="8" spans="1:18" ht="0.75" customHeight="1">
      <c r="C8" s="97"/>
      <c r="D8" s="435"/>
      <c r="E8" s="435"/>
      <c r="F8" s="435"/>
      <c r="G8" s="435"/>
      <c r="H8" s="462" t="s">
        <v>116</v>
      </c>
    </row>
    <row r="9" spans="1:18" ht="15" customHeight="1">
      <c r="C9" s="97"/>
      <c r="D9" s="630"/>
      <c r="E9" s="2344" t="s">
        <v>104</v>
      </c>
      <c r="F9" s="2345"/>
      <c r="G9" s="733" t="str">
        <f>IF(G8="","",INDEX(DIFFERENTIATION_UNMERGE_VD,MATCH(G8,DIFFERENTIATION_ID_DIFF,0)))</f>
        <v/>
      </c>
      <c r="H9" s="733">
        <f>IF(H8="","",INDEX(DIFFERENTIATION_UNMERGE_VD,MATCH(H8,DIFFERENTIATION_ID_DIFF,0)))</f>
        <v>0</v>
      </c>
      <c r="I9" s="2143" t="s">
        <v>290</v>
      </c>
    </row>
    <row r="10" spans="1:18" s="1823" customFormat="1" ht="15" customHeight="1">
      <c r="A10" s="676"/>
      <c r="C10" s="97"/>
      <c r="D10" s="630"/>
      <c r="E10" s="2344" t="s">
        <v>548</v>
      </c>
      <c r="F10" s="2345"/>
      <c r="G10" s="733" t="str">
        <f>IF(G8="","",INDEX(DIFFERENTIATION_UNMERGE_AREA,MATCH(G8,DIFFERENTIATION_ID_DIFF,0)))</f>
        <v/>
      </c>
      <c r="H10" s="733" t="str">
        <f>IF(H8="","",INDEX(DIFFERENTIATION_UNMERGE_AREA,MATCH(H8,DIFFERENTIATION_ID_DIFF,0)))</f>
        <v/>
      </c>
      <c r="I10" s="2143"/>
      <c r="R10" s="596"/>
    </row>
    <row r="11" spans="1:18" s="1823" customFormat="1" ht="15" customHeight="1">
      <c r="A11" s="676"/>
      <c r="C11" s="97"/>
      <c r="D11" s="630"/>
      <c r="E11" s="2344" t="s">
        <v>549</v>
      </c>
      <c r="F11" s="2345"/>
      <c r="G11" s="733" t="str">
        <f>IF(G8="","",INDEX(DIFFERENTIATION_UNMERGE_SYSTEM,MATCH(G8,DIFFERENTIATION_ID_DIFF,0)))</f>
        <v/>
      </c>
      <c r="H11" s="733" t="str">
        <f>IF(H8="","",INDEX(DIFFERENTIATION_UNMERGE_SYSTEM,MATCH(H8,DIFFERENTIATION_ID_DIFF,0)))</f>
        <v>без дифференциации</v>
      </c>
      <c r="I11" s="2143"/>
      <c r="R11" s="596"/>
    </row>
    <row r="12" spans="1:18" s="1823" customFormat="1" ht="15" customHeight="1">
      <c r="A12" s="676"/>
      <c r="C12" s="97"/>
      <c r="D12" s="2346" t="s">
        <v>289</v>
      </c>
      <c r="E12" s="2347"/>
      <c r="F12" s="2347"/>
      <c r="G12" s="800"/>
      <c r="H12" s="800"/>
      <c r="I12" s="2143"/>
      <c r="R12" s="596"/>
    </row>
    <row r="13" spans="1:18" ht="33.75" customHeight="1">
      <c r="C13" s="97"/>
      <c r="D13" s="678" t="s">
        <v>87</v>
      </c>
      <c r="E13" s="677" t="s">
        <v>291</v>
      </c>
      <c r="F13" s="677" t="s">
        <v>550</v>
      </c>
      <c r="G13" s="725" t="s">
        <v>292</v>
      </c>
      <c r="H13" s="671" t="s">
        <v>292</v>
      </c>
      <c r="I13" s="2143"/>
    </row>
    <row r="14" spans="1:18" ht="15" hidden="1" customHeight="1">
      <c r="C14" s="97"/>
      <c r="D14" s="516" t="s">
        <v>108</v>
      </c>
      <c r="E14" s="516" t="s">
        <v>109</v>
      </c>
      <c r="F14" s="516" t="s">
        <v>89</v>
      </c>
      <c r="G14" s="580" t="str">
        <f>G1&amp;".1"</f>
        <v>.1</v>
      </c>
      <c r="H14" s="580" t="str">
        <f>H1&amp;".1"</f>
        <v>4.1</v>
      </c>
      <c r="I14" s="207"/>
    </row>
    <row r="15" spans="1:18" ht="15" customHeight="1">
      <c r="A15" s="431"/>
      <c r="C15" s="452"/>
      <c r="D15" s="447">
        <v>1</v>
      </c>
      <c r="E15" s="598" t="str">
        <f>TP_P_A</f>
        <v xml:space="preserve">Количество поданных заявлений </v>
      </c>
      <c r="F15" s="447" t="s">
        <v>1013</v>
      </c>
      <c r="G15" s="605"/>
      <c r="H15" s="605"/>
      <c r="I15" s="12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6" spans="1:18" ht="15" customHeight="1">
      <c r="A16" s="431"/>
      <c r="C16" s="452"/>
      <c r="D16" s="447">
        <v>2</v>
      </c>
      <c r="E16" s="198" t="str">
        <f>TP_P_B</f>
        <v xml:space="preserve">Количество исполненных заявлений </v>
      </c>
      <c r="F16" s="447" t="s">
        <v>1013</v>
      </c>
      <c r="G16" s="605"/>
      <c r="H16" s="605"/>
      <c r="I16" s="12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7" spans="1:18" ht="33.75" customHeight="1">
      <c r="A17" s="431"/>
      <c r="C17" s="452"/>
      <c r="D17" s="447">
        <v>3</v>
      </c>
      <c r="E17" s="198" t="str">
        <f>TP_P_V</f>
        <v>Количество заявлений о заключении договоров о подключении (технологическом присоединении)</v>
      </c>
      <c r="F17" s="447" t="s">
        <v>1013</v>
      </c>
      <c r="G17" s="605"/>
      <c r="H17" s="605"/>
      <c r="I17" s="129"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r="18" spans="1:18" ht="36" customHeight="1">
      <c r="A18" s="431"/>
      <c r="C18" s="452"/>
      <c r="D18" s="447">
        <v>4</v>
      </c>
      <c r="E18" s="198"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47" t="s">
        <v>295</v>
      </c>
      <c r="G18" s="606"/>
      <c r="H18" s="606"/>
      <c r="I18" s="755"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31"/>
      <c r="C19" s="452"/>
      <c r="D19" s="447">
        <v>5</v>
      </c>
      <c r="E19" s="198"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47" t="str">
        <f>IF(TEMPLATE_SPHERE="HEAT","Гкал/час","тыс. куб. м/сутки")</f>
        <v>тыс. куб. м/сутки</v>
      </c>
      <c r="G19" s="607">
        <f>SUM(G20:G22)</f>
        <v>0</v>
      </c>
      <c r="H19" s="607">
        <f>SUM(H20:H22)</f>
        <v>0</v>
      </c>
      <c r="I19" s="129"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r="20" spans="1:18" ht="15" hidden="1" customHeight="1">
      <c r="D20" s="435" t="s">
        <v>1014</v>
      </c>
      <c r="E20" s="608"/>
      <c r="F20" s="435"/>
      <c r="G20" s="435"/>
      <c r="H20" s="435"/>
      <c r="I20" s="1672"/>
    </row>
    <row r="21" spans="1:18" ht="27.75" customHeight="1">
      <c r="C21" s="382"/>
      <c r="D21" s="464" t="s">
        <v>304</v>
      </c>
      <c r="E21" s="591"/>
      <c r="F21" s="1670" t="str">
        <f>IF(TEMPLATE_SPHERE="HEAT","Гкал/час","тыс. куб. м/сутки")</f>
        <v>тыс. куб. м/сутки</v>
      </c>
      <c r="G21" s="601"/>
      <c r="H21" s="601"/>
      <c r="I21" s="2185"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row r="22" spans="1:18" ht="15" customHeight="1">
      <c r="A22" s="431"/>
      <c r="C22" s="431"/>
      <c r="D22" s="272"/>
      <c r="E22" s="505" t="s">
        <v>1015</v>
      </c>
      <c r="F22" s="497"/>
      <c r="G22" s="497"/>
      <c r="H22" s="497"/>
      <c r="I22" s="2187"/>
      <c r="R22" s="431"/>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xr:uid="{00000000-0002-0000-2700-000000000000}">
      <formula1>0</formula1>
      <formula2>9.99999999999999E+23</formula2>
    </dataValidation>
    <dataValidation type="decimal" allowBlank="1" showErrorMessage="1" errorTitle="Ошибка" error="Допускается ввод только неотрицательных чисел!" sqref="G21:H21 G2:H2" xr:uid="{00000000-0002-0000-2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7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7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60F72-1E79-D365-A27B-10679A19E8C4}">
  <sheetPr>
    <tabColor theme="6" tint="0.39997558519241921"/>
    <pageSetUpPr fitToPage="1"/>
  </sheetPr>
  <dimension ref="A1:P31"/>
  <sheetViews>
    <sheetView showGridLines="0" topLeftCell="C4" zoomScale="90" workbookViewId="0"/>
  </sheetViews>
  <sheetFormatPr defaultColWidth="10.5703125" defaultRowHeight="14.25" customHeight="1"/>
  <cols>
    <col min="1" max="1" width="9.140625" style="2042" hidden="1" customWidth="1"/>
    <col min="2" max="2" width="9.140625" style="2040" hidden="1" customWidth="1"/>
    <col min="3" max="3" width="3.7109375" style="2043" customWidth="1"/>
    <col min="4" max="4" width="6.28515625" style="1834" customWidth="1"/>
    <col min="5" max="6" width="64.140625" style="1834" customWidth="1"/>
    <col min="7" max="7" width="141.140625" style="1834" customWidth="1"/>
    <col min="8" max="8" width="10.5703125" style="1834"/>
    <col min="9" max="10" width="10.5703125" style="1826"/>
    <col min="11" max="16" width="10.5703125" style="1834"/>
  </cols>
  <sheetData>
    <row r="1" spans="1:16" ht="14.25" hidden="1" customHeight="1">
      <c r="M1" s="173"/>
      <c r="N1" s="173"/>
      <c r="P1" s="173"/>
    </row>
    <row r="2" spans="1:16" ht="14.25" hidden="1" customHeight="1"/>
    <row r="3" spans="1:16" ht="14.25" hidden="1" customHeight="1"/>
    <row r="4" spans="1:16" ht="3" customHeight="1">
      <c r="C4" s="30"/>
      <c r="D4" s="18"/>
      <c r="E4" s="18"/>
      <c r="F4" s="19"/>
      <c r="G4" s="19"/>
    </row>
    <row r="5" spans="1:16" ht="27.75" customHeight="1">
      <c r="C5" s="30"/>
      <c r="D5" s="217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76"/>
      <c r="F5" s="2176"/>
      <c r="G5" s="2177"/>
    </row>
    <row r="6" spans="1:16" s="1823" customFormat="1" ht="18" customHeight="1">
      <c r="A6" s="795"/>
      <c r="B6" s="351"/>
      <c r="C6" s="305"/>
      <c r="D6" s="2234" t="str">
        <f>IF(org=0,"Не определено",org)</f>
        <v>ПАО "Юнипро"</v>
      </c>
      <c r="E6" s="2235"/>
      <c r="F6" s="2235"/>
      <c r="G6" s="2236"/>
      <c r="I6" s="426"/>
      <c r="J6" s="426"/>
    </row>
    <row r="7" spans="1:16" ht="14.25" customHeight="1">
      <c r="C7" s="30"/>
      <c r="D7" s="18"/>
      <c r="E7" s="29"/>
      <c r="F7" s="669"/>
      <c r="G7" s="114"/>
    </row>
    <row r="8" spans="1:16" s="1908" customFormat="1" ht="0.75" customHeight="1">
      <c r="A8" s="1580"/>
      <c r="B8" s="1060"/>
      <c r="C8" s="305"/>
      <c r="D8" s="290"/>
      <c r="E8" s="323"/>
      <c r="F8" s="669"/>
      <c r="G8" s="114"/>
      <c r="I8" s="1536"/>
      <c r="J8" s="1536"/>
    </row>
    <row r="9" spans="1:16" ht="14.25" customHeight="1">
      <c r="C9" s="30"/>
      <c r="D9" s="2229" t="s">
        <v>289</v>
      </c>
      <c r="E9" s="2229"/>
      <c r="F9" s="2229"/>
      <c r="G9" s="2412" t="s">
        <v>290</v>
      </c>
    </row>
    <row r="10" spans="1:16" ht="14.25" customHeight="1">
      <c r="C10" s="30"/>
      <c r="D10" s="36" t="s">
        <v>87</v>
      </c>
      <c r="E10" s="39" t="s">
        <v>291</v>
      </c>
      <c r="F10" s="39" t="s">
        <v>381</v>
      </c>
      <c r="G10" s="2412"/>
    </row>
    <row r="11" spans="1:16" ht="12" hidden="1" customHeight="1">
      <c r="C11" s="30"/>
      <c r="D11" s="21"/>
      <c r="E11" s="21"/>
      <c r="F11" s="21"/>
      <c r="G11" s="21"/>
    </row>
    <row r="12" spans="1:16" ht="62.25" customHeight="1">
      <c r="A12" s="113"/>
      <c r="C12" s="30"/>
      <c r="D12" s="71">
        <v>1</v>
      </c>
      <c r="E12" s="11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19" t="s">
        <v>295</v>
      </c>
      <c r="G12" s="75"/>
    </row>
    <row r="13" spans="1:16" ht="22.5" customHeight="1">
      <c r="A13" s="113"/>
      <c r="C13" s="30"/>
      <c r="D13" s="71" t="s">
        <v>920</v>
      </c>
      <c r="E13" s="11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9" t="s">
        <v>295</v>
      </c>
      <c r="G13" s="75"/>
    </row>
    <row r="14" spans="1:16" ht="14.25" customHeight="1">
      <c r="A14" s="113"/>
      <c r="C14" s="30"/>
      <c r="D14" s="71" t="s">
        <v>956</v>
      </c>
      <c r="E14" s="116"/>
      <c r="F14" s="134"/>
      <c r="G14" s="218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13"/>
      <c r="C15" s="30"/>
      <c r="D15" s="40"/>
      <c r="E15" s="274" t="s">
        <v>1016</v>
      </c>
      <c r="F15" s="122"/>
      <c r="G15" s="2187"/>
    </row>
    <row r="16" spans="1:16" ht="14.25" customHeight="1">
      <c r="A16" s="113"/>
      <c r="C16" s="30"/>
      <c r="D16" s="71" t="s">
        <v>922</v>
      </c>
      <c r="E16" s="11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19" t="s">
        <v>295</v>
      </c>
      <c r="G16" s="263"/>
    </row>
    <row r="17" spans="1:16" ht="14.25" customHeight="1">
      <c r="A17" s="113"/>
      <c r="C17" s="30"/>
      <c r="D17" s="71" t="s">
        <v>964</v>
      </c>
      <c r="E17" s="116"/>
      <c r="F17" s="319"/>
      <c r="G17" s="218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row>
    <row r="18" spans="1:16" s="2039" customFormat="1" ht="21" customHeight="1">
      <c r="A18" s="268"/>
      <c r="B18" s="70"/>
      <c r="C18" s="226"/>
      <c r="D18" s="272"/>
      <c r="E18" s="274" t="s">
        <v>1017</v>
      </c>
      <c r="F18" s="264"/>
      <c r="G18" s="2187"/>
      <c r="I18" s="275"/>
      <c r="J18" s="275"/>
    </row>
    <row r="19" spans="1:16" s="1823" customFormat="1" ht="256.5" hidden="1" customHeight="1">
      <c r="A19" s="268"/>
      <c r="B19" s="351"/>
      <c r="C19" s="305"/>
      <c r="D19" s="797" t="s">
        <v>924</v>
      </c>
      <c r="E19" s="796" t="s">
        <v>1018</v>
      </c>
      <c r="F19" s="319"/>
      <c r="G19" s="263" t="s">
        <v>1019</v>
      </c>
      <c r="I19" s="426"/>
      <c r="J19" s="426"/>
    </row>
    <row r="20" spans="1:16" s="2039" customFormat="1" ht="14.25" customHeight="1">
      <c r="A20" s="268"/>
      <c r="B20" s="70"/>
      <c r="C20" s="226"/>
      <c r="D20" s="798">
        <v>2</v>
      </c>
      <c r="E20" s="256" t="s">
        <v>1020</v>
      </c>
      <c r="F20" s="119" t="s">
        <v>295</v>
      </c>
      <c r="G20" s="263"/>
      <c r="I20" s="275"/>
      <c r="J20" s="275"/>
    </row>
    <row r="21" spans="1:16" s="2039" customFormat="1" ht="18.75" hidden="1" customHeight="1">
      <c r="A21" s="268"/>
      <c r="B21" s="70"/>
      <c r="C21" s="226"/>
      <c r="D21" s="259" t="s">
        <v>850</v>
      </c>
      <c r="E21" s="258"/>
      <c r="F21" s="257"/>
      <c r="G21" s="267"/>
      <c r="H21" s="260"/>
      <c r="I21" s="275"/>
      <c r="J21" s="275"/>
    </row>
    <row r="22" spans="1:16" ht="15" customHeight="1">
      <c r="A22" s="113"/>
      <c r="C22" s="30"/>
      <c r="D22" s="40"/>
      <c r="E22" s="124" t="s">
        <v>1021</v>
      </c>
      <c r="F22" s="264"/>
      <c r="G22" s="265"/>
    </row>
    <row r="23" spans="1:16" s="1908" customFormat="1" ht="22.5" hidden="1" customHeight="1">
      <c r="A23" s="268"/>
      <c r="B23" s="1060"/>
      <c r="C23" s="305"/>
      <c r="D23" s="1584" t="s">
        <v>109</v>
      </c>
      <c r="E23" s="118" t="s">
        <v>1022</v>
      </c>
      <c r="F23" s="1581" t="s">
        <v>295</v>
      </c>
      <c r="G23" s="270"/>
      <c r="I23" s="1536"/>
      <c r="J23" s="1536"/>
    </row>
    <row r="24" spans="1:16" s="1908" customFormat="1" ht="14.25" hidden="1" customHeight="1">
      <c r="A24" s="268"/>
      <c r="B24" s="1060"/>
      <c r="C24" s="305"/>
      <c r="D24" s="1584" t="s">
        <v>606</v>
      </c>
      <c r="E24" s="1583" t="s">
        <v>1023</v>
      </c>
      <c r="F24" s="1581" t="s">
        <v>295</v>
      </c>
      <c r="G24" s="263"/>
      <c r="I24" s="1536"/>
      <c r="J24" s="1536"/>
    </row>
    <row r="25" spans="1:16" s="1908" customFormat="1" ht="14.25" hidden="1" customHeight="1">
      <c r="A25" s="268"/>
      <c r="B25" s="1060"/>
      <c r="C25" s="305"/>
      <c r="D25" s="1584" t="s">
        <v>609</v>
      </c>
      <c r="E25" s="116"/>
      <c r="F25" s="319"/>
      <c r="G25" s="2185" t="s">
        <v>1024</v>
      </c>
      <c r="I25" s="1536"/>
      <c r="J25" s="1536"/>
    </row>
    <row r="26" spans="1:16" s="1908" customFormat="1" ht="22.5" hidden="1" customHeight="1">
      <c r="A26" s="268"/>
      <c r="B26" s="1060"/>
      <c r="C26" s="305"/>
      <c r="D26" s="272"/>
      <c r="E26" s="274" t="s">
        <v>1025</v>
      </c>
      <c r="F26" s="264"/>
      <c r="G26" s="2187"/>
      <c r="I26" s="1536"/>
      <c r="J26" s="1536"/>
    </row>
    <row r="27" spans="1:16" ht="3" customHeight="1"/>
    <row r="28" spans="1:16" ht="14.25" customHeight="1">
      <c r="D28" s="262"/>
      <c r="E28" s="261"/>
      <c r="F28" s="237"/>
      <c r="G28" s="237"/>
      <c r="H28" s="237"/>
      <c r="I28" s="237"/>
      <c r="J28" s="237"/>
      <c r="K28" s="237"/>
      <c r="L28" s="237"/>
      <c r="M28" s="237"/>
      <c r="N28" s="237"/>
      <c r="O28" s="237"/>
      <c r="P28" s="237"/>
    </row>
    <row r="29" spans="1:16" ht="14.25" customHeight="1">
      <c r="D29" s="262"/>
      <c r="E29" s="507"/>
    </row>
    <row r="31" spans="1:16" ht="14.25" customHeight="1">
      <c r="E31" s="675"/>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xr:uid="{00000000-0002-0000-2800-000001000000}">
      <formula1>900</formula1>
    </dataValidation>
  </dataValidation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6674-48C1-2E0F-01AB-648CF8ECD4CA}">
  <sheetPr>
    <tabColor theme="6" tint="0.39997558519241921"/>
  </sheetPr>
  <dimension ref="A1:L45"/>
  <sheetViews>
    <sheetView showGridLines="0" topLeftCell="C13" zoomScale="90" workbookViewId="0">
      <selection activeCell="I29" sqref="I29:I32"/>
    </sheetView>
  </sheetViews>
  <sheetFormatPr defaultColWidth="10.5703125" defaultRowHeight="14.25" customHeight="1"/>
  <cols>
    <col min="1" max="1" width="9.140625" style="1933" hidden="1" customWidth="1"/>
    <col min="2" max="2" width="9.140625" style="2040" hidden="1" customWidth="1"/>
    <col min="3" max="3" width="3.7109375" style="2043" customWidth="1"/>
    <col min="4" max="4" width="6.28515625" style="1834" customWidth="1"/>
    <col min="5" max="5" width="63.42578125" style="1834" customWidth="1"/>
    <col min="6" max="6" width="1.7109375" style="1834" hidden="1" customWidth="1"/>
    <col min="7" max="8" width="35.7109375" style="1834" customWidth="1"/>
    <col min="9" max="9" width="91.5703125" style="1834" customWidth="1"/>
    <col min="10" max="10" width="68.85546875" style="1834" customWidth="1"/>
    <col min="11" max="12" width="10.5703125" style="1826"/>
  </cols>
  <sheetData>
    <row r="1" spans="1:12" ht="14.25" hidden="1" customHeight="1"/>
    <row r="2" spans="1:12" s="1908" customFormat="1" ht="18.75" hidden="1" customHeight="1">
      <c r="A2" s="1594"/>
      <c r="B2" s="1060"/>
      <c r="C2" s="1640" t="s">
        <v>477</v>
      </c>
      <c r="D2" s="1584"/>
      <c r="E2" s="120"/>
      <c r="F2" s="1581"/>
      <c r="G2" s="1581" t="s">
        <v>295</v>
      </c>
      <c r="H2" s="1061"/>
      <c r="K2" s="1536"/>
      <c r="L2" s="1536"/>
    </row>
    <row r="3" spans="1:12" s="1908" customFormat="1" ht="14.25" hidden="1" customHeight="1">
      <c r="A3" s="1278"/>
      <c r="B3" s="1060"/>
      <c r="C3" s="269"/>
      <c r="K3" s="1536"/>
      <c r="L3" s="1536"/>
    </row>
    <row r="4" spans="1:12" s="1908" customFormat="1" ht="18.75" hidden="1" customHeight="1">
      <c r="A4" s="1594"/>
      <c r="B4" s="1060"/>
      <c r="C4" s="1640" t="s">
        <v>477</v>
      </c>
      <c r="D4" s="1584"/>
      <c r="E4" s="126" t="s">
        <v>1026</v>
      </c>
      <c r="F4" s="1581"/>
      <c r="G4" s="175"/>
      <c r="H4" s="1581" t="s">
        <v>295</v>
      </c>
      <c r="K4" s="1536"/>
      <c r="L4" s="1536"/>
    </row>
    <row r="5" spans="1:12" s="1908" customFormat="1" ht="14.25" hidden="1" customHeight="1">
      <c r="A5" s="1278"/>
      <c r="B5" s="1060"/>
      <c r="C5" s="269"/>
      <c r="K5" s="1536"/>
      <c r="L5" s="1536"/>
    </row>
    <row r="6" spans="1:12" s="1908" customFormat="1" ht="18.75" hidden="1" customHeight="1">
      <c r="A6" s="1594"/>
      <c r="B6" s="1060"/>
      <c r="C6" s="1640" t="s">
        <v>477</v>
      </c>
      <c r="D6" s="1584"/>
      <c r="E6" s="127" t="s">
        <v>1027</v>
      </c>
      <c r="F6" s="1581"/>
      <c r="G6" s="175"/>
      <c r="H6" s="1581" t="s">
        <v>295</v>
      </c>
      <c r="K6" s="1536"/>
      <c r="L6" s="1536"/>
    </row>
    <row r="7" spans="1:12" s="1908" customFormat="1" ht="14.25" hidden="1" customHeight="1">
      <c r="A7" s="1278"/>
      <c r="B7" s="1060"/>
      <c r="C7" s="269"/>
      <c r="K7" s="1536"/>
      <c r="L7" s="1536"/>
    </row>
    <row r="8" spans="1:12" s="1908" customFormat="1" ht="18.75" hidden="1" customHeight="1">
      <c r="A8" s="1594"/>
      <c r="B8" s="1060"/>
      <c r="C8" s="1640" t="s">
        <v>477</v>
      </c>
      <c r="D8" s="1584"/>
      <c r="E8" s="127" t="s">
        <v>1028</v>
      </c>
      <c r="F8" s="1581"/>
      <c r="G8" s="175"/>
      <c r="H8" s="1581" t="s">
        <v>295</v>
      </c>
      <c r="K8" s="1536"/>
      <c r="L8" s="1536"/>
    </row>
    <row r="9" spans="1:12" s="1908" customFormat="1" ht="14.25" hidden="1" customHeight="1">
      <c r="A9" s="1278"/>
      <c r="B9" s="1060"/>
      <c r="C9" s="269"/>
      <c r="K9" s="1536"/>
      <c r="L9" s="1536"/>
    </row>
    <row r="10" spans="1:12" s="1908" customFormat="1" ht="18.75" hidden="1" customHeight="1">
      <c r="A10" s="1594"/>
      <c r="B10" s="1060"/>
      <c r="C10" s="1640" t="s">
        <v>477</v>
      </c>
      <c r="D10" s="1584"/>
      <c r="E10" s="127" t="s">
        <v>1029</v>
      </c>
      <c r="F10" s="1581"/>
      <c r="G10" s="1585"/>
      <c r="H10" s="1581" t="s">
        <v>295</v>
      </c>
      <c r="K10" s="1536"/>
      <c r="L10" s="1536" t="s">
        <v>1030</v>
      </c>
    </row>
    <row r="11" spans="1:12" ht="14.25" hidden="1" customHeight="1"/>
    <row r="12" spans="1:12" ht="14.25" hidden="1" customHeight="1"/>
    <row r="13" spans="1:12" ht="14.25" customHeight="1">
      <c r="C13" s="30"/>
      <c r="D13" s="18"/>
      <c r="E13" s="18"/>
      <c r="F13" s="18"/>
      <c r="G13" s="18"/>
      <c r="H13" s="19"/>
      <c r="I13" s="19"/>
    </row>
    <row r="14" spans="1:12" ht="27.75" customHeight="1">
      <c r="C14" s="30"/>
      <c r="D14" s="217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76"/>
      <c r="F14" s="2176"/>
      <c r="G14" s="2176"/>
      <c r="H14" s="2177"/>
      <c r="J14" s="1543"/>
    </row>
    <row r="15" spans="1:12" s="1908" customFormat="1" ht="14.25" customHeight="1">
      <c r="A15" s="1278"/>
      <c r="B15" s="1060"/>
      <c r="C15" s="305"/>
      <c r="D15" s="2234" t="str">
        <f>IF(org=0,"Не определено",org)</f>
        <v>ПАО "Юнипро"</v>
      </c>
      <c r="E15" s="2235"/>
      <c r="F15" s="2235"/>
      <c r="G15" s="2235"/>
      <c r="H15" s="2236"/>
      <c r="J15" s="765"/>
      <c r="K15" s="1536"/>
      <c r="L15" s="1536"/>
    </row>
    <row r="16" spans="1:12" ht="14.25" customHeight="1">
      <c r="C16" s="30"/>
      <c r="D16" s="18"/>
      <c r="E16" s="29"/>
      <c r="F16" s="29"/>
      <c r="G16" s="29"/>
      <c r="H16" s="669"/>
      <c r="I16" s="114"/>
    </row>
    <row r="17" spans="1:12" s="1908" customFormat="1" ht="14.25" hidden="1" customHeight="1">
      <c r="A17" s="1278"/>
      <c r="B17" s="1060"/>
      <c r="C17" s="305"/>
      <c r="D17" s="290"/>
      <c r="E17" s="323"/>
      <c r="F17" s="323"/>
      <c r="G17" s="323"/>
      <c r="H17" s="669"/>
      <c r="I17" s="114"/>
      <c r="K17" s="1536"/>
      <c r="L17" s="1536"/>
    </row>
    <row r="18" spans="1:12" ht="21" customHeight="1">
      <c r="C18" s="30"/>
      <c r="D18" s="2229" t="s">
        <v>289</v>
      </c>
      <c r="E18" s="2229"/>
      <c r="F18" s="2229"/>
      <c r="G18" s="2229"/>
      <c r="H18" s="2229"/>
      <c r="I18" s="2412" t="s">
        <v>290</v>
      </c>
    </row>
    <row r="19" spans="1:12" ht="21" customHeight="1">
      <c r="C19" s="30"/>
      <c r="D19" s="36" t="s">
        <v>87</v>
      </c>
      <c r="E19" s="39" t="s">
        <v>291</v>
      </c>
      <c r="F19" s="39"/>
      <c r="G19" s="39" t="s">
        <v>292</v>
      </c>
      <c r="H19" s="39" t="s">
        <v>381</v>
      </c>
      <c r="I19" s="2412"/>
    </row>
    <row r="20" spans="1:12" ht="12" hidden="1" customHeight="1">
      <c r="C20" s="30"/>
      <c r="D20" s="21"/>
      <c r="E20" s="21"/>
      <c r="F20" s="21"/>
      <c r="G20" s="21"/>
      <c r="H20" s="21"/>
      <c r="I20" s="21"/>
    </row>
    <row r="21" spans="1:12" ht="14.25" customHeight="1">
      <c r="A21" s="1594"/>
      <c r="C21" s="30"/>
      <c r="D21" s="71">
        <v>1</v>
      </c>
      <c r="E21" s="2414" t="s">
        <v>1031</v>
      </c>
      <c r="F21" s="2414"/>
      <c r="G21" s="2414"/>
      <c r="H21" s="2414"/>
      <c r="I21" s="129"/>
    </row>
    <row r="22" spans="1:12" ht="20.25" customHeight="1">
      <c r="A22" s="1594"/>
      <c r="C22" s="30"/>
      <c r="D22" s="71" t="s">
        <v>920</v>
      </c>
      <c r="E22" s="115" t="s">
        <v>1032</v>
      </c>
      <c r="F22" s="119"/>
      <c r="G22" s="2044">
        <v>45280.36273148148</v>
      </c>
      <c r="H22" s="119" t="s">
        <v>295</v>
      </c>
      <c r="I22" s="75" t="s">
        <v>1033</v>
      </c>
    </row>
    <row r="23" spans="1:12" ht="45" customHeight="1">
      <c r="A23" s="1594"/>
      <c r="C23" s="30"/>
      <c r="D23" s="71" t="s">
        <v>922</v>
      </c>
      <c r="E23" s="115" t="s">
        <v>1034</v>
      </c>
      <c r="F23" s="119"/>
      <c r="G23" s="2045" t="s">
        <v>1035</v>
      </c>
      <c r="H23" s="2046" t="s">
        <v>1036</v>
      </c>
      <c r="I23" s="176" t="s">
        <v>1037</v>
      </c>
    </row>
    <row r="24" spans="1:12" ht="26.65" customHeight="1">
      <c r="A24" s="1594"/>
      <c r="B24" s="70">
        <v>3</v>
      </c>
      <c r="C24" s="30"/>
      <c r="D24" s="71">
        <v>2</v>
      </c>
      <c r="E24" s="14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19"/>
      <c r="G24" s="119" t="s">
        <v>295</v>
      </c>
      <c r="H24" s="2046" t="s">
        <v>1038</v>
      </c>
      <c r="I24" s="177" t="s">
        <v>787</v>
      </c>
    </row>
    <row r="25" spans="1:12" ht="46.5" customHeight="1">
      <c r="A25" s="1594"/>
      <c r="C25" s="30"/>
      <c r="D25" s="71">
        <v>3</v>
      </c>
      <c r="E25" s="241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14"/>
      <c r="G25" s="2414"/>
      <c r="H25" s="2414"/>
      <c r="I25" s="174"/>
    </row>
    <row r="26" spans="1:12" ht="36.6" customHeight="1">
      <c r="A26" s="1594"/>
      <c r="C26" s="30"/>
      <c r="D26" s="71" t="s">
        <v>315</v>
      </c>
      <c r="E26" s="120" t="s">
        <v>1039</v>
      </c>
      <c r="F26" s="119"/>
      <c r="G26" s="119" t="s">
        <v>295</v>
      </c>
      <c r="H26" s="2046" t="s">
        <v>1040</v>
      </c>
      <c r="I26" s="2185" t="s">
        <v>1041</v>
      </c>
    </row>
    <row r="27" spans="1:12" ht="15" customHeight="1">
      <c r="A27" s="1594" t="s">
        <v>108</v>
      </c>
      <c r="C27" s="30"/>
      <c r="D27" s="40"/>
      <c r="E27" s="124" t="s">
        <v>1021</v>
      </c>
      <c r="F27" s="125"/>
      <c r="G27" s="125"/>
      <c r="H27" s="122"/>
      <c r="I27" s="2187"/>
    </row>
    <row r="28" spans="1:12" ht="38.25" customHeight="1">
      <c r="A28" s="1594"/>
      <c r="B28" s="70">
        <v>3</v>
      </c>
      <c r="C28" s="30"/>
      <c r="D28" s="71">
        <v>4</v>
      </c>
      <c r="E28" s="241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14"/>
      <c r="G28" s="2414"/>
      <c r="H28" s="2414"/>
      <c r="I28" s="174"/>
    </row>
    <row r="29" spans="1:12" ht="55.9" customHeight="1">
      <c r="A29" s="1594"/>
      <c r="C29" s="30"/>
      <c r="D29" s="71" t="s">
        <v>651</v>
      </c>
      <c r="E29" s="126" t="s">
        <v>1026</v>
      </c>
      <c r="F29" s="119"/>
      <c r="G29" s="175" t="s">
        <v>1042</v>
      </c>
      <c r="H29" s="119" t="s">
        <v>295</v>
      </c>
      <c r="I29" s="2185" t="s">
        <v>1043</v>
      </c>
    </row>
    <row r="30" spans="1:12" s="1945" customFormat="1" ht="64.150000000000006" customHeight="1">
      <c r="A30" s="2047"/>
      <c r="B30" s="1973"/>
      <c r="C30" s="2048" t="s">
        <v>477</v>
      </c>
      <c r="D30" s="2049" t="s">
        <v>694</v>
      </c>
      <c r="E30" s="2050" t="s">
        <v>1026</v>
      </c>
      <c r="F30" s="1981"/>
      <c r="G30" s="2051" t="s">
        <v>1044</v>
      </c>
      <c r="H30" s="1981" t="s">
        <v>295</v>
      </c>
      <c r="I30" s="2413"/>
      <c r="K30" s="2052"/>
      <c r="L30" s="2052"/>
    </row>
    <row r="31" spans="1:12" s="1945" customFormat="1" ht="18.75" customHeight="1">
      <c r="A31" s="2047"/>
      <c r="B31" s="1973"/>
      <c r="C31" s="2048" t="s">
        <v>477</v>
      </c>
      <c r="D31" s="2049" t="s">
        <v>697</v>
      </c>
      <c r="E31" s="2050" t="s">
        <v>1026</v>
      </c>
      <c r="F31" s="1981"/>
      <c r="G31" s="2051" t="s">
        <v>1045</v>
      </c>
      <c r="H31" s="1981" t="s">
        <v>295</v>
      </c>
      <c r="I31" s="2413"/>
      <c r="K31" s="2052"/>
      <c r="L31" s="2052"/>
    </row>
    <row r="32" spans="1:12" ht="15" customHeight="1">
      <c r="A32" s="1594" t="s">
        <v>109</v>
      </c>
      <c r="C32" s="30"/>
      <c r="D32" s="40"/>
      <c r="E32" s="124" t="s">
        <v>1021</v>
      </c>
      <c r="F32" s="125"/>
      <c r="G32" s="125"/>
      <c r="H32" s="122"/>
      <c r="I32" s="2187"/>
    </row>
    <row r="33" spans="1:12" ht="30" customHeight="1">
      <c r="A33" s="1594"/>
      <c r="B33" s="70">
        <v>3</v>
      </c>
      <c r="C33" s="30"/>
      <c r="D33" s="71">
        <v>5</v>
      </c>
      <c r="E33" s="241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3" s="2414"/>
      <c r="G33" s="2414"/>
      <c r="H33" s="2414"/>
      <c r="I33" s="174"/>
    </row>
    <row r="34" spans="1:12" ht="26.25" customHeight="1">
      <c r="A34" s="1594"/>
      <c r="C34" s="30"/>
      <c r="D34" s="71" t="s">
        <v>304</v>
      </c>
      <c r="E34" s="237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4" s="2370"/>
      <c r="G34" s="2370"/>
      <c r="H34" s="2370"/>
      <c r="I34" s="174"/>
    </row>
    <row r="35" spans="1:12" ht="14.25" customHeight="1">
      <c r="A35" s="1594"/>
      <c r="C35" s="30"/>
      <c r="D35" s="71" t="s">
        <v>1046</v>
      </c>
      <c r="E35" s="127" t="s">
        <v>1027</v>
      </c>
      <c r="F35" s="119"/>
      <c r="G35" s="175" t="s">
        <v>1047</v>
      </c>
      <c r="H35" s="119" t="s">
        <v>295</v>
      </c>
      <c r="I35" s="2185" t="s">
        <v>1048</v>
      </c>
    </row>
    <row r="36" spans="1:12" s="1945" customFormat="1" ht="18.75" customHeight="1">
      <c r="A36" s="2047"/>
      <c r="B36" s="1973"/>
      <c r="C36" s="2048" t="s">
        <v>477</v>
      </c>
      <c r="D36" s="2049" t="s">
        <v>1049</v>
      </c>
      <c r="E36" s="2053" t="s">
        <v>1027</v>
      </c>
      <c r="F36" s="1981"/>
      <c r="G36" s="2051" t="s">
        <v>1050</v>
      </c>
      <c r="H36" s="1981" t="s">
        <v>295</v>
      </c>
      <c r="I36" s="2413"/>
      <c r="K36" s="2052"/>
      <c r="L36" s="2052"/>
    </row>
    <row r="37" spans="1:12" ht="15" customHeight="1">
      <c r="A37" s="1594" t="s">
        <v>89</v>
      </c>
      <c r="C37" s="30"/>
      <c r="D37" s="40"/>
      <c r="E37" s="125" t="s">
        <v>1021</v>
      </c>
      <c r="F37" s="121"/>
      <c r="G37" s="121"/>
      <c r="H37" s="122"/>
      <c r="I37" s="2187"/>
    </row>
    <row r="38" spans="1:12" ht="24" customHeight="1">
      <c r="A38" s="1594"/>
      <c r="C38" s="30"/>
      <c r="D38" s="71" t="s">
        <v>306</v>
      </c>
      <c r="E38" s="237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70"/>
      <c r="G38" s="2370"/>
      <c r="H38" s="2370"/>
      <c r="I38" s="174"/>
    </row>
    <row r="39" spans="1:12" ht="50.1" customHeight="1">
      <c r="A39" s="1594"/>
      <c r="C39" s="30"/>
      <c r="D39" s="71" t="s">
        <v>1051</v>
      </c>
      <c r="E39" s="127" t="s">
        <v>1028</v>
      </c>
      <c r="F39" s="119"/>
      <c r="G39" s="175" t="s">
        <v>1052</v>
      </c>
      <c r="H39" s="119" t="s">
        <v>295</v>
      </c>
      <c r="I39" s="2159" t="s">
        <v>1053</v>
      </c>
    </row>
    <row r="40" spans="1:12" ht="15" customHeight="1">
      <c r="A40" s="1594" t="s">
        <v>90</v>
      </c>
      <c r="C40" s="30"/>
      <c r="D40" s="40"/>
      <c r="E40" s="125" t="s">
        <v>1021</v>
      </c>
      <c r="F40" s="121"/>
      <c r="G40" s="121"/>
      <c r="H40" s="122"/>
      <c r="I40" s="2159"/>
    </row>
    <row r="41" spans="1:12" ht="26.25" customHeight="1">
      <c r="A41" s="1594"/>
      <c r="C41" s="30"/>
      <c r="D41" s="71" t="s">
        <v>309</v>
      </c>
      <c r="E41" s="237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41" s="2370"/>
      <c r="G41" s="2370"/>
      <c r="H41" s="2370"/>
      <c r="I41" s="174"/>
    </row>
    <row r="42" spans="1:12" ht="14.25" customHeight="1">
      <c r="A42" s="1594"/>
      <c r="C42" s="30"/>
      <c r="D42" s="71" t="s">
        <v>780</v>
      </c>
      <c r="E42" s="127" t="s">
        <v>1029</v>
      </c>
      <c r="F42" s="119"/>
      <c r="G42" s="128" t="s">
        <v>1054</v>
      </c>
      <c r="H42" s="119" t="s">
        <v>295</v>
      </c>
      <c r="I42" s="2185" t="s">
        <v>1055</v>
      </c>
      <c r="L42" s="77" t="s">
        <v>1030</v>
      </c>
    </row>
    <row r="43" spans="1:12" ht="15" customHeight="1">
      <c r="A43" s="1594" t="s">
        <v>110</v>
      </c>
      <c r="C43" s="30"/>
      <c r="D43" s="40"/>
      <c r="E43" s="125" t="s">
        <v>1021</v>
      </c>
      <c r="F43" s="121"/>
      <c r="G43" s="121"/>
      <c r="H43" s="122"/>
      <c r="I43" s="2187"/>
    </row>
    <row r="44" spans="1:12" s="2054" customFormat="1" ht="3" customHeight="1">
      <c r="A44" s="1594"/>
      <c r="K44" s="117"/>
      <c r="L44" s="117"/>
    </row>
    <row r="45" spans="1:12" ht="24.75" customHeight="1">
      <c r="D45" s="1592" t="s">
        <v>702</v>
      </c>
      <c r="E45" s="229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5" s="2290"/>
      <c r="G45" s="2290"/>
      <c r="H45" s="2290"/>
      <c r="I45" s="2290"/>
    </row>
  </sheetData>
  <sheetProtection formatColumns="0" formatRows="0" insertRows="0" deleteColumns="0" deleteRows="0" sort="0" autoFilter="0"/>
  <mergeCells count="17">
    <mergeCell ref="I29:I32"/>
    <mergeCell ref="E33:H33"/>
    <mergeCell ref="D14:H14"/>
    <mergeCell ref="D18:H18"/>
    <mergeCell ref="I18:I19"/>
    <mergeCell ref="E21:H21"/>
    <mergeCell ref="E25:H25"/>
    <mergeCell ref="I26:I27"/>
    <mergeCell ref="E28:H28"/>
    <mergeCell ref="D15:H15"/>
    <mergeCell ref="E45:I45"/>
    <mergeCell ref="E34:H34"/>
    <mergeCell ref="E38:H38"/>
    <mergeCell ref="E41:H41"/>
    <mergeCell ref="I35:I37"/>
    <mergeCell ref="I39:I40"/>
    <mergeCell ref="I42:I43"/>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9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2" xr:uid="{00000000-0002-0000-29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xr:uid="{00000000-0002-0000-2900-000002000000}">
      <formula1>900</formula1>
    </dataValidation>
    <dataValidation type="textLength" operator="lessThanOrEqual" allowBlank="1" showInputMessage="1" showErrorMessage="1" errorTitle="Ошибка" error="Допускается ввод не более 900 символов!" sqref="I23:I24 I35:I36 G39 I42 I26 E29:E31 G35:G36 E39 I29:I31 E35:E36 I39 G23 E26 I10 E23 G29:G31 E10 G8 E2 I2 I4 G4 E4 E6 I6 G6 E8 I8 E42" xr:uid="{00000000-0002-0000-2900-000003000000}">
      <formula1>900</formula1>
    </dataValidation>
  </dataValidations>
  <hyperlinks>
    <hyperlink ref="G23" r:id="rId1" xr:uid="{8DAC3B6C-3898-BADD-4E4E-18EBFE16F964}"/>
    <hyperlink ref="H23" r:id="rId2" xr:uid="{B0A7D4C5-94D1-ED6E-26DC-03D6779C5CF4}"/>
    <hyperlink ref="H24" r:id="rId3" xr:uid="{9CFD04F8-869B-D433-FA05-793E83D156AB}"/>
    <hyperlink ref="H26" r:id="rId4" xr:uid="{EC01866D-16DA-7B89-0224-EBB56FBB22FD}"/>
  </hyperlinks>
  <pageMargins left="0.7" right="0.7" top="0.75" bottom="0.75" header="0.3" footer="0.3"/>
  <pageSetup orientation="portrait"/>
  <headerFooter>
    <oddHeader>&amp;L&amp;C&amp;R</oddHeader>
    <oddFooter>&amp;L&amp;C&amp;R</oddFooter>
    <evenHeader>&amp;L&amp;C&amp;R</evenHeader>
    <evenFooter>&amp;L&amp;C&amp;R</evenFooter>
  </headerFooter>
  <drawing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2113D-436D-3985-BEC6-7FEC18855DFF}">
  <sheetPr>
    <tabColor theme="6" tint="0.39997558519241921"/>
  </sheetPr>
  <dimension ref="A1:AG316"/>
  <sheetViews>
    <sheetView showGridLines="0" topLeftCell="D13" zoomScale="90" workbookViewId="0"/>
  </sheetViews>
  <sheetFormatPr defaultColWidth="10.5703125" defaultRowHeight="14.25" customHeight="1"/>
  <cols>
    <col min="1" max="2" width="25.140625" style="2055" hidden="1" customWidth="1"/>
    <col min="3" max="3" width="9.140625" style="2016" hidden="1" customWidth="1"/>
    <col min="4" max="4" width="3.7109375" style="1939" customWidth="1"/>
    <col min="5" max="5" width="6.28515625" style="2056" customWidth="1"/>
    <col min="6" max="6" width="46.7109375" style="2056" customWidth="1"/>
    <col min="7" max="7" width="35.7109375" style="2056" customWidth="1"/>
    <col min="8" max="8" width="3.7109375" style="2056" customWidth="1"/>
    <col min="9" max="10" width="11.7109375" style="2056" customWidth="1"/>
    <col min="11" max="12" width="35.7109375" style="2056" customWidth="1"/>
    <col min="13" max="13" width="84.85546875" style="2056" customWidth="1"/>
    <col min="14" max="14" width="10.5703125" style="2056"/>
    <col min="15" max="16" width="10.5703125" style="2041"/>
    <col min="17" max="33" width="10.5703125" style="2056"/>
  </cols>
  <sheetData>
    <row r="1" spans="1:33" s="1908" customFormat="1" ht="14.25" hidden="1" customHeight="1">
      <c r="A1" s="1689"/>
      <c r="B1" s="1689"/>
      <c r="C1" s="297"/>
      <c r="D1" s="269"/>
      <c r="N1" s="1548">
        <f>IFERROR(MATCH("метод экономически обоснованных расходов (затрат)",OFFER_METHOD,0),0)</f>
        <v>0</v>
      </c>
      <c r="O1" s="1536"/>
      <c r="P1" s="1536"/>
      <c r="T1" s="748"/>
      <c r="AG1" s="173"/>
    </row>
    <row r="2" spans="1:33" s="1908" customFormat="1" ht="18.75" hidden="1" customHeight="1">
      <c r="A2" s="1690" t="s">
        <v>154</v>
      </c>
      <c r="B2" s="1690" t="s">
        <v>155</v>
      </c>
      <c r="C2" s="297"/>
      <c r="D2" s="269"/>
      <c r="E2" s="938"/>
      <c r="F2" s="938"/>
      <c r="G2" s="2386" t="str">
        <f>INDEX(PT_DIFFERENTIATION_NTAR,MATCH(B2,PT_DIFFERENTIATION_NTAR_ID,0))</f>
        <v/>
      </c>
      <c r="H2" s="1774"/>
      <c r="I2" s="1648"/>
      <c r="J2" s="1683"/>
      <c r="K2" s="1775"/>
      <c r="L2" s="1774" t="s">
        <v>295</v>
      </c>
      <c r="M2" s="1784"/>
      <c r="N2" s="260"/>
      <c r="O2" s="1536"/>
      <c r="P2" s="1536"/>
    </row>
    <row r="3" spans="1:33" s="1908" customFormat="1" ht="18.75" hidden="1" customHeight="1">
      <c r="A3" s="1690"/>
      <c r="B3" s="1690"/>
      <c r="C3" s="297" t="s">
        <v>1056</v>
      </c>
      <c r="D3" s="269"/>
      <c r="E3" s="938"/>
      <c r="F3" s="938"/>
      <c r="G3" s="2386"/>
      <c r="H3" s="1410"/>
      <c r="I3" s="572" t="s">
        <v>1057</v>
      </c>
      <c r="J3" s="496"/>
      <c r="K3" s="1410"/>
      <c r="L3" s="135"/>
      <c r="M3" s="1784"/>
      <c r="N3" s="260"/>
      <c r="O3" s="1536"/>
      <c r="P3" s="1536"/>
    </row>
    <row r="4" spans="1:33" s="1908" customFormat="1" ht="14.25" hidden="1" customHeight="1">
      <c r="A4" s="1689"/>
      <c r="B4" s="1689"/>
      <c r="C4" s="297"/>
      <c r="D4" s="269"/>
      <c r="N4" s="1548">
        <f>IFERROR(MATCH("метод экономически обоснованных расходов (затрат)",OFFER_METHOD,0),0)</f>
        <v>0</v>
      </c>
      <c r="O4" s="1536"/>
      <c r="P4" s="1536"/>
      <c r="T4" s="748"/>
      <c r="AG4" s="173"/>
    </row>
    <row r="5" spans="1:33" s="1908" customFormat="1" ht="18.75" hidden="1" customHeight="1">
      <c r="A5" s="1690" t="s">
        <v>154</v>
      </c>
      <c r="B5" s="1690" t="s">
        <v>155</v>
      </c>
      <c r="C5" s="297"/>
      <c r="D5" s="269"/>
      <c r="E5" s="938"/>
      <c r="F5" s="938"/>
      <c r="G5" s="2386" t="str">
        <f>INDEX(PT_DIFFERENTIATION_NTAR,MATCH(B5,PT_DIFFERENTIATION_NTAR_ID,0))</f>
        <v/>
      </c>
      <c r="H5" s="1774"/>
      <c r="I5" s="1648"/>
      <c r="J5" s="1683"/>
      <c r="K5" s="1688"/>
      <c r="L5" s="1774" t="s">
        <v>295</v>
      </c>
      <c r="M5" s="1784"/>
      <c r="N5" s="260"/>
      <c r="O5" s="1536"/>
      <c r="P5" s="1536"/>
    </row>
    <row r="6" spans="1:33" s="1908" customFormat="1" ht="18.75" hidden="1" customHeight="1">
      <c r="A6" s="1690"/>
      <c r="B6" s="1690"/>
      <c r="C6" s="297" t="s">
        <v>1058</v>
      </c>
      <c r="D6" s="269"/>
      <c r="E6" s="938"/>
      <c r="F6" s="938"/>
      <c r="G6" s="2386"/>
      <c r="H6" s="1410"/>
      <c r="I6" s="572" t="s">
        <v>1057</v>
      </c>
      <c r="J6" s="496"/>
      <c r="K6" s="1410"/>
      <c r="L6" s="135"/>
      <c r="M6" s="1784"/>
      <c r="N6" s="260"/>
      <c r="O6" s="1536"/>
      <c r="P6" s="1536"/>
    </row>
    <row r="7" spans="1:33" s="1908" customFormat="1" ht="14.25" hidden="1" customHeight="1">
      <c r="A7" s="1689"/>
      <c r="B7" s="1689"/>
      <c r="C7" s="297"/>
      <c r="D7" s="269"/>
      <c r="N7" s="1548">
        <f>IFERROR(MATCH("метод экономически обоснованных расходов (затрат)",OFFER_METHOD,0),0)</f>
        <v>0</v>
      </c>
      <c r="O7" s="1536"/>
      <c r="P7" s="1536"/>
      <c r="T7" s="748"/>
      <c r="AG7" s="173"/>
    </row>
    <row r="8" spans="1:33" s="1908" customFormat="1" ht="56.25" hidden="1" customHeight="1">
      <c r="A8" s="1690"/>
      <c r="B8" s="1690"/>
      <c r="C8" s="297"/>
      <c r="D8" s="269"/>
      <c r="E8" s="938"/>
      <c r="F8" s="938"/>
      <c r="G8" s="938"/>
      <c r="H8" s="1681"/>
      <c r="I8" s="1648"/>
      <c r="J8" s="1683"/>
      <c r="K8" s="1775"/>
      <c r="L8" s="1681" t="s">
        <v>295</v>
      </c>
      <c r="M8" s="1784"/>
      <c r="N8" s="260"/>
      <c r="O8" s="1536"/>
      <c r="P8" s="1536"/>
    </row>
    <row r="9" spans="1:33" ht="14.25" hidden="1" customHeight="1">
      <c r="T9" s="331"/>
      <c r="AG9" s="173"/>
    </row>
    <row r="10" spans="1:33" s="1908" customFormat="1" ht="56.25" hidden="1" customHeight="1">
      <c r="A10" s="1690"/>
      <c r="B10" s="1690"/>
      <c r="C10" s="297"/>
      <c r="D10" s="269"/>
      <c r="E10" s="938"/>
      <c r="F10" s="938"/>
      <c r="G10" s="938"/>
      <c r="H10" s="1680"/>
      <c r="I10" s="1648"/>
      <c r="J10" s="1683"/>
      <c r="K10" s="1688"/>
      <c r="L10" s="1681" t="s">
        <v>295</v>
      </c>
      <c r="M10" s="1784"/>
      <c r="N10" s="260"/>
      <c r="O10" s="1536"/>
      <c r="P10" s="1536"/>
    </row>
    <row r="11" spans="1:33" ht="14.25" hidden="1" customHeight="1"/>
    <row r="12" spans="1:33" ht="14.25" hidden="1" customHeight="1"/>
    <row r="13" spans="1:33" ht="6" customHeight="1">
      <c r="D13" s="305"/>
      <c r="E13" s="290"/>
      <c r="F13" s="290"/>
      <c r="G13" s="290"/>
      <c r="H13" s="290"/>
      <c r="I13" s="290"/>
      <c r="J13" s="290"/>
      <c r="K13" s="290"/>
      <c r="L13" s="19"/>
      <c r="M13" s="19"/>
    </row>
    <row r="14" spans="1:33" ht="14.25" customHeight="1">
      <c r="D14" s="305"/>
      <c r="E14" s="241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18"/>
      <c r="G14" s="2418"/>
      <c r="H14" s="2418"/>
      <c r="I14" s="2418"/>
      <c r="J14" s="2418"/>
      <c r="K14" s="2418"/>
      <c r="L14" s="2418"/>
      <c r="M14" s="140"/>
    </row>
    <row r="15" spans="1:33" ht="6" customHeight="1">
      <c r="D15" s="305"/>
      <c r="E15" s="290"/>
      <c r="F15" s="323"/>
      <c r="G15" s="323"/>
      <c r="H15" s="323"/>
      <c r="I15" s="323"/>
      <c r="J15" s="323"/>
      <c r="K15" s="323"/>
      <c r="L15" s="246"/>
      <c r="M15" s="114"/>
    </row>
    <row r="16" spans="1:33" ht="18.75" customHeight="1">
      <c r="D16" s="305"/>
      <c r="E16" s="290"/>
      <c r="F16" s="224" t="str">
        <f>"Дата подачи заявления об "&amp;IF(TITLE_DATE_PR_CHANGE="","утверждении","изменении")&amp;" тарифов"</f>
        <v>Дата подачи заявления об изменении тарифов</v>
      </c>
      <c r="G16" s="2272">
        <f>IF(TITLE_DATE_PR_CHANGE="",IF(TITLE_DATE_PR="","",TITLE_DATE_PR),TITLE_DATE_PR_CHANGE)</f>
        <v>45278.357847222222</v>
      </c>
      <c r="H16" s="2272"/>
      <c r="I16" s="2272"/>
      <c r="J16" s="2272"/>
      <c r="K16" s="2272"/>
      <c r="L16" s="2272"/>
      <c r="M16" s="332"/>
      <c r="N16" s="252"/>
    </row>
    <row r="17" spans="1:16" ht="18.75" customHeight="1">
      <c r="D17" s="305"/>
      <c r="E17" s="290"/>
      <c r="F17" s="224" t="str">
        <f>"Номер подачи заявления об "&amp;IF(TITLE_DATE_PR_CHANGE="","утверждении","изменении")&amp;" тарифов"</f>
        <v>Номер подачи заявления об изменении тарифов</v>
      </c>
      <c r="G17" s="2263" t="str">
        <f>IF(TITLE_NUMBER_PR_CHANGE="",IF(TITLE_NUMBER_PR="","",TITLE_NUMBER_PR),TITLE_NUMBER_PR_CHANGE)</f>
        <v>924-в</v>
      </c>
      <c r="H17" s="2263"/>
      <c r="I17" s="2263"/>
      <c r="J17" s="2263"/>
      <c r="K17" s="2263"/>
      <c r="L17" s="2263"/>
      <c r="M17" s="332"/>
      <c r="N17" s="252"/>
    </row>
    <row r="18" spans="1:16" ht="14.25" customHeight="1">
      <c r="D18" s="305"/>
      <c r="E18" s="290"/>
      <c r="F18" s="323"/>
      <c r="G18" s="323"/>
      <c r="H18" s="323"/>
      <c r="I18" s="323"/>
      <c r="J18" s="323"/>
      <c r="K18" s="323"/>
      <c r="L18" s="669"/>
      <c r="M18" s="114"/>
    </row>
    <row r="19" spans="1:16" ht="21" customHeight="1">
      <c r="D19" s="305"/>
      <c r="E19" s="2229" t="s">
        <v>289</v>
      </c>
      <c r="F19" s="2229"/>
      <c r="G19" s="2229"/>
      <c r="H19" s="2229"/>
      <c r="I19" s="2229"/>
      <c r="J19" s="2229"/>
      <c r="K19" s="2229"/>
      <c r="L19" s="2229"/>
      <c r="M19" s="2412" t="s">
        <v>290</v>
      </c>
    </row>
    <row r="20" spans="1:16" ht="21" customHeight="1">
      <c r="D20" s="305"/>
      <c r="E20" s="2282" t="s">
        <v>87</v>
      </c>
      <c r="F20" s="2243" t="s">
        <v>121</v>
      </c>
      <c r="G20" s="2243" t="s">
        <v>122</v>
      </c>
      <c r="H20" s="2391" t="s">
        <v>1059</v>
      </c>
      <c r="I20" s="2392"/>
      <c r="J20" s="2393"/>
      <c r="K20" s="2243" t="s">
        <v>292</v>
      </c>
      <c r="L20" s="2243" t="s">
        <v>381</v>
      </c>
      <c r="M20" s="2412"/>
    </row>
    <row r="21" spans="1:16" ht="21" customHeight="1">
      <c r="D21" s="305"/>
      <c r="E21" s="2284"/>
      <c r="F21" s="2244"/>
      <c r="G21" s="2244"/>
      <c r="H21" s="2238" t="s">
        <v>1060</v>
      </c>
      <c r="I21" s="2240"/>
      <c r="J21" s="39" t="s">
        <v>1061</v>
      </c>
      <c r="K21" s="2244"/>
      <c r="L21" s="2244"/>
      <c r="M21" s="2412"/>
    </row>
    <row r="22" spans="1:16" ht="12" customHeight="1">
      <c r="D22" s="305"/>
      <c r="E22" s="200"/>
      <c r="F22" s="200"/>
      <c r="G22" s="200"/>
      <c r="H22" s="2420"/>
      <c r="I22" s="2420"/>
      <c r="J22" s="200"/>
      <c r="K22" s="200"/>
      <c r="L22" s="200"/>
      <c r="M22" s="200"/>
    </row>
    <row r="23" spans="1:16" ht="18.75" customHeight="1">
      <c r="A23" s="1690"/>
      <c r="B23" s="1690"/>
      <c r="D23" s="305"/>
      <c r="E23" s="1776" t="s">
        <v>108</v>
      </c>
      <c r="F23" s="2421" t="str">
        <f>"Предлагаемый метод регулирования"&amp;IF(TEMPLATE_SPHERE="HEAT"," в сфере "&amp;TEMPLATE_SPHERE_RUS,"")</f>
        <v>Предлагаемый метод регулирования</v>
      </c>
      <c r="G23" s="2421"/>
      <c r="H23" s="2414"/>
      <c r="I23" s="2414"/>
      <c r="J23" s="2414"/>
      <c r="K23" s="2421" t="s">
        <v>295</v>
      </c>
      <c r="L23" s="2414"/>
      <c r="M23" s="1679"/>
      <c r="N23" s="260"/>
    </row>
    <row r="24" spans="1:16" ht="60.75" hidden="1" customHeight="1">
      <c r="A24" s="1690" t="s">
        <v>154</v>
      </c>
      <c r="B24" s="1690" t="s">
        <v>155</v>
      </c>
      <c r="D24" s="2419"/>
      <c r="E24" s="2223"/>
      <c r="F24" s="242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86" t="str">
        <f>INDEX(PT_DIFFERENTIATION_NTAR,MATCH(B24,PT_DIFFERENTIATION_NTAR_ID,0))</f>
        <v/>
      </c>
      <c r="H24" s="1772"/>
      <c r="I24" s="1648"/>
      <c r="J24" s="1683"/>
      <c r="K24" s="1775"/>
      <c r="L24" s="1678" t="s">
        <v>295</v>
      </c>
      <c r="M24"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60"/>
    </row>
    <row r="25" spans="1:16" s="1908" customFormat="1" ht="18.75" hidden="1" customHeight="1">
      <c r="A25" s="1690"/>
      <c r="B25" s="1690"/>
      <c r="C25" s="297" t="s">
        <v>1056</v>
      </c>
      <c r="D25" s="2419"/>
      <c r="E25" s="2223"/>
      <c r="F25" s="2422"/>
      <c r="G25" s="2386"/>
      <c r="H25" s="1410"/>
      <c r="I25" s="572" t="s">
        <v>1057</v>
      </c>
      <c r="J25" s="496"/>
      <c r="K25" s="1410"/>
      <c r="L25" s="135"/>
      <c r="M25" s="2186"/>
      <c r="N25" s="260"/>
      <c r="O25" s="1536"/>
      <c r="P25" s="1536"/>
    </row>
    <row r="26" spans="1:16" ht="0.75" hidden="1" customHeight="1">
      <c r="A26" s="1690"/>
      <c r="B26" s="1690"/>
      <c r="C26" s="297" t="s">
        <v>1062</v>
      </c>
      <c r="D26" s="2419"/>
      <c r="E26" s="2223"/>
      <c r="F26" s="2358"/>
      <c r="G26" s="334"/>
      <c r="H26" s="1410"/>
      <c r="I26" s="329"/>
      <c r="J26" s="274"/>
      <c r="K26" s="1410"/>
      <c r="L26" s="122"/>
      <c r="M26" s="2186"/>
      <c r="N26" s="260"/>
    </row>
    <row r="27" spans="1:16" s="1908" customFormat="1" ht="45" hidden="1" customHeight="1">
      <c r="A27" s="1690" t="s">
        <v>160</v>
      </c>
      <c r="B27" s="1690" t="s">
        <v>161</v>
      </c>
      <c r="C27" s="297"/>
      <c r="D27" s="2415"/>
      <c r="E27" s="2416"/>
      <c r="F27" s="241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86" t="str">
        <f>INDEX(PT_DIFFERENTIATION_NTAR,MATCH(B27,PT_DIFFERENTIATION_NTAR_ID,0))</f>
        <v/>
      </c>
      <c r="H27" s="1772"/>
      <c r="I27" s="1648"/>
      <c r="J27" s="1683"/>
      <c r="K27" s="1775"/>
      <c r="L27" s="1772" t="s">
        <v>295</v>
      </c>
      <c r="M27" s="2186"/>
      <c r="N27" s="260"/>
      <c r="O27" s="1536"/>
      <c r="P27" s="1536"/>
    </row>
    <row r="28" spans="1:16" s="1908" customFormat="1" ht="18.75" hidden="1" customHeight="1">
      <c r="A28" s="1690"/>
      <c r="B28" s="1690"/>
      <c r="C28" s="297" t="s">
        <v>1056</v>
      </c>
      <c r="D28" s="2415"/>
      <c r="E28" s="2416"/>
      <c r="F28" s="2417"/>
      <c r="G28" s="2386"/>
      <c r="H28" s="1410"/>
      <c r="I28" s="572" t="s">
        <v>1057</v>
      </c>
      <c r="J28" s="496"/>
      <c r="K28" s="1410"/>
      <c r="L28" s="135"/>
      <c r="M28" s="2186"/>
      <c r="N28" s="260"/>
      <c r="O28" s="1536"/>
      <c r="P28" s="1536"/>
    </row>
    <row r="29" spans="1:16" s="1908" customFormat="1" ht="0.75" hidden="1" customHeight="1">
      <c r="A29" s="1690"/>
      <c r="B29" s="1690"/>
      <c r="C29" s="297" t="s">
        <v>1062</v>
      </c>
      <c r="D29" s="2415"/>
      <c r="E29" s="2223"/>
      <c r="F29" s="2358"/>
      <c r="G29" s="334"/>
      <c r="H29" s="1410"/>
      <c r="I29" s="572"/>
      <c r="J29" s="496"/>
      <c r="K29" s="1410"/>
      <c r="L29" s="135"/>
      <c r="M29" s="2186"/>
      <c r="N29" s="260"/>
      <c r="O29" s="1536"/>
      <c r="P29" s="1536"/>
    </row>
    <row r="30" spans="1:16" s="1908" customFormat="1" ht="45" hidden="1" customHeight="1">
      <c r="A30" s="1690" t="s">
        <v>166</v>
      </c>
      <c r="B30" s="1690" t="s">
        <v>167</v>
      </c>
      <c r="C30" s="297"/>
      <c r="D30" s="2415"/>
      <c r="E30" s="2223"/>
      <c r="F30" s="235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86" t="str">
        <f>INDEX(PT_DIFFERENTIATION_NTAR,MATCH(B30,PT_DIFFERENTIATION_NTAR_ID,0))</f>
        <v/>
      </c>
      <c r="H30" s="1772"/>
      <c r="I30" s="1648"/>
      <c r="J30" s="1683"/>
      <c r="K30" s="1775"/>
      <c r="L30" s="1772" t="s">
        <v>295</v>
      </c>
      <c r="M30" s="2186"/>
      <c r="N30" s="260"/>
      <c r="O30" s="1536"/>
      <c r="P30" s="1536"/>
    </row>
    <row r="31" spans="1:16" s="1908" customFormat="1" ht="18.75" hidden="1" customHeight="1">
      <c r="A31" s="1690"/>
      <c r="B31" s="1690"/>
      <c r="C31" s="297" t="s">
        <v>1056</v>
      </c>
      <c r="D31" s="2415"/>
      <c r="E31" s="2223"/>
      <c r="F31" s="2358"/>
      <c r="G31" s="2386"/>
      <c r="H31" s="1410"/>
      <c r="I31" s="572" t="s">
        <v>1057</v>
      </c>
      <c r="J31" s="496"/>
      <c r="K31" s="1410"/>
      <c r="L31" s="135"/>
      <c r="M31" s="2186"/>
      <c r="N31" s="260"/>
      <c r="O31" s="1536"/>
      <c r="P31" s="1536"/>
    </row>
    <row r="32" spans="1:16" s="1908" customFormat="1" ht="0.75" hidden="1" customHeight="1">
      <c r="A32" s="1690"/>
      <c r="B32" s="1690"/>
      <c r="C32" s="297" t="s">
        <v>1062</v>
      </c>
      <c r="D32" s="2415"/>
      <c r="E32" s="2223"/>
      <c r="F32" s="2358"/>
      <c r="G32" s="334"/>
      <c r="H32" s="1410"/>
      <c r="I32" s="572"/>
      <c r="J32" s="496"/>
      <c r="K32" s="1410"/>
      <c r="L32" s="135"/>
      <c r="M32" s="2186"/>
      <c r="N32" s="260"/>
      <c r="O32" s="1536"/>
      <c r="P32" s="1536"/>
    </row>
    <row r="33" spans="1:16" s="1908" customFormat="1" ht="45" hidden="1" customHeight="1">
      <c r="A33" s="1690" t="s">
        <v>172</v>
      </c>
      <c r="B33" s="1690" t="s">
        <v>173</v>
      </c>
      <c r="C33" s="297"/>
      <c r="D33" s="2415"/>
      <c r="E33" s="2223"/>
      <c r="F33" s="235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86" t="str">
        <f>INDEX(PT_DIFFERENTIATION_NTAR,MATCH(B33,PT_DIFFERENTIATION_NTAR_ID,0))</f>
        <v/>
      </c>
      <c r="H33" s="1772"/>
      <c r="I33" s="1648"/>
      <c r="J33" s="1683"/>
      <c r="K33" s="1775"/>
      <c r="L33" s="1772" t="s">
        <v>295</v>
      </c>
      <c r="M33" s="2186"/>
      <c r="N33" s="260"/>
      <c r="O33" s="1536"/>
      <c r="P33" s="1536"/>
    </row>
    <row r="34" spans="1:16" s="1908" customFormat="1" ht="18.75" hidden="1" customHeight="1">
      <c r="A34" s="1690"/>
      <c r="B34" s="1690"/>
      <c r="C34" s="297" t="s">
        <v>1056</v>
      </c>
      <c r="D34" s="2415"/>
      <c r="E34" s="2223"/>
      <c r="F34" s="2358"/>
      <c r="G34" s="2386"/>
      <c r="H34" s="1410"/>
      <c r="I34" s="572" t="s">
        <v>1057</v>
      </c>
      <c r="J34" s="496"/>
      <c r="K34" s="1410"/>
      <c r="L34" s="135"/>
      <c r="M34" s="2186"/>
      <c r="N34" s="260"/>
      <c r="O34" s="1536"/>
      <c r="P34" s="1536"/>
    </row>
    <row r="35" spans="1:16" s="1908" customFormat="1" ht="0.75" hidden="1" customHeight="1">
      <c r="A35" s="1690"/>
      <c r="B35" s="1690"/>
      <c r="C35" s="297" t="s">
        <v>1062</v>
      </c>
      <c r="D35" s="2415"/>
      <c r="E35" s="2223"/>
      <c r="F35" s="2358"/>
      <c r="G35" s="334"/>
      <c r="H35" s="1410"/>
      <c r="I35" s="572"/>
      <c r="J35" s="496"/>
      <c r="K35" s="1410"/>
      <c r="L35" s="135"/>
      <c r="M35" s="2186"/>
      <c r="N35" s="260"/>
      <c r="O35" s="1536"/>
      <c r="P35" s="1536"/>
    </row>
    <row r="36" spans="1:16" s="1908" customFormat="1" ht="18.75" hidden="1" customHeight="1">
      <c r="A36" s="1690" t="s">
        <v>178</v>
      </c>
      <c r="B36" s="1690" t="s">
        <v>179</v>
      </c>
      <c r="C36" s="297"/>
      <c r="D36" s="2415"/>
      <c r="E36" s="2223"/>
      <c r="F36" s="2358" t="str">
        <f>INDEX(PT_DIFFERENTIATION_VTAR,MATCH(A36,PT_DIFFERENTIATION_VTAR_ID,0))</f>
        <v>Тарифы на услуги по передаче тепловой энергии</v>
      </c>
      <c r="G36" s="2386" t="str">
        <f>INDEX(PT_DIFFERENTIATION_NTAR,MATCH(B36,PT_DIFFERENTIATION_NTAR_ID,0))</f>
        <v/>
      </c>
      <c r="H36" s="1772"/>
      <c r="I36" s="1648"/>
      <c r="J36" s="1683"/>
      <c r="K36" s="1775"/>
      <c r="L36" s="1772" t="s">
        <v>295</v>
      </c>
      <c r="M36" s="2186"/>
      <c r="N36" s="260"/>
      <c r="O36" s="1536"/>
      <c r="P36" s="1536"/>
    </row>
    <row r="37" spans="1:16" s="1908" customFormat="1" ht="18.75" hidden="1" customHeight="1">
      <c r="A37" s="1690"/>
      <c r="B37" s="1690"/>
      <c r="C37" s="297" t="s">
        <v>1056</v>
      </c>
      <c r="D37" s="2415"/>
      <c r="E37" s="2223"/>
      <c r="F37" s="2358"/>
      <c r="G37" s="2386"/>
      <c r="H37" s="1410"/>
      <c r="I37" s="572" t="s">
        <v>1057</v>
      </c>
      <c r="J37" s="496"/>
      <c r="K37" s="1410"/>
      <c r="L37" s="135"/>
      <c r="M37" s="2186"/>
      <c r="N37" s="260"/>
      <c r="O37" s="1536"/>
      <c r="P37" s="1536"/>
    </row>
    <row r="38" spans="1:16" s="1908" customFormat="1" ht="0.75" hidden="1" customHeight="1">
      <c r="A38" s="1690"/>
      <c r="B38" s="1690"/>
      <c r="C38" s="297" t="s">
        <v>1062</v>
      </c>
      <c r="D38" s="2415"/>
      <c r="E38" s="2223"/>
      <c r="F38" s="2358"/>
      <c r="G38" s="334"/>
      <c r="H38" s="1410"/>
      <c r="I38" s="572"/>
      <c r="J38" s="496"/>
      <c r="K38" s="1410"/>
      <c r="L38" s="135"/>
      <c r="M38" s="2186"/>
      <c r="N38" s="260"/>
      <c r="O38" s="1536"/>
      <c r="P38" s="1536"/>
    </row>
    <row r="39" spans="1:16" s="1908" customFormat="1" ht="18.75" hidden="1" customHeight="1">
      <c r="A39" s="1690" t="s">
        <v>184</v>
      </c>
      <c r="B39" s="1690" t="s">
        <v>185</v>
      </c>
      <c r="C39" s="297"/>
      <c r="D39" s="2415"/>
      <c r="E39" s="2223"/>
      <c r="F39" s="2358" t="str">
        <f>INDEX(PT_DIFFERENTIATION_VTAR,MATCH(A39,PT_DIFFERENTIATION_VTAR_ID,0))</f>
        <v>Тарифы на услуги по передаче теплоносителя</v>
      </c>
      <c r="G39" s="2386" t="str">
        <f>INDEX(PT_DIFFERENTIATION_NTAR,MATCH(B39,PT_DIFFERENTIATION_NTAR_ID,0))</f>
        <v/>
      </c>
      <c r="H39" s="1772"/>
      <c r="I39" s="1648"/>
      <c r="J39" s="1683"/>
      <c r="K39" s="1775"/>
      <c r="L39" s="1772" t="s">
        <v>295</v>
      </c>
      <c r="M39" s="2186"/>
      <c r="N39" s="260"/>
      <c r="O39" s="1536"/>
      <c r="P39" s="1536"/>
    </row>
    <row r="40" spans="1:16" s="1908" customFormat="1" ht="18.75" hidden="1" customHeight="1">
      <c r="A40" s="1690"/>
      <c r="B40" s="1690"/>
      <c r="C40" s="297" t="s">
        <v>1056</v>
      </c>
      <c r="D40" s="2415"/>
      <c r="E40" s="2223"/>
      <c r="F40" s="2358"/>
      <c r="G40" s="2386"/>
      <c r="H40" s="1410"/>
      <c r="I40" s="572" t="s">
        <v>1057</v>
      </c>
      <c r="J40" s="496"/>
      <c r="K40" s="1410"/>
      <c r="L40" s="135"/>
      <c r="M40" s="2186"/>
      <c r="N40" s="260"/>
      <c r="O40" s="1536"/>
      <c r="P40" s="1536"/>
    </row>
    <row r="41" spans="1:16" s="1908" customFormat="1" ht="0.75" hidden="1" customHeight="1">
      <c r="A41" s="1690"/>
      <c r="B41" s="1690"/>
      <c r="C41" s="297" t="s">
        <v>1062</v>
      </c>
      <c r="D41" s="2415"/>
      <c r="E41" s="2223"/>
      <c r="F41" s="2358"/>
      <c r="G41" s="334"/>
      <c r="H41" s="1410"/>
      <c r="I41" s="572"/>
      <c r="J41" s="496"/>
      <c r="K41" s="1410"/>
      <c r="L41" s="135"/>
      <c r="M41" s="2186"/>
      <c r="N41" s="260"/>
      <c r="O41" s="1536"/>
      <c r="P41" s="1536"/>
    </row>
    <row r="42" spans="1:16" s="1908" customFormat="1" ht="18.75" hidden="1" customHeight="1">
      <c r="A42" s="1690" t="s">
        <v>190</v>
      </c>
      <c r="B42" s="1690" t="s">
        <v>191</v>
      </c>
      <c r="C42" s="297"/>
      <c r="D42" s="2415"/>
      <c r="E42" s="2223"/>
      <c r="F42" s="235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86" t="str">
        <f>INDEX(PT_DIFFERENTIATION_NTAR,MATCH(B42,PT_DIFFERENTIATION_NTAR_ID,0))</f>
        <v/>
      </c>
      <c r="H42" s="1772"/>
      <c r="I42" s="1648"/>
      <c r="J42" s="1683"/>
      <c r="K42" s="1775"/>
      <c r="L42" s="1772" t="s">
        <v>295</v>
      </c>
      <c r="M42" s="2186"/>
      <c r="N42" s="260"/>
      <c r="O42" s="1536"/>
      <c r="P42" s="1536"/>
    </row>
    <row r="43" spans="1:16" s="1908" customFormat="1" ht="18.75" hidden="1" customHeight="1">
      <c r="A43" s="1690"/>
      <c r="B43" s="1690"/>
      <c r="C43" s="297" t="s">
        <v>1056</v>
      </c>
      <c r="D43" s="2415"/>
      <c r="E43" s="2223"/>
      <c r="F43" s="2358"/>
      <c r="G43" s="2386"/>
      <c r="H43" s="1410"/>
      <c r="I43" s="572" t="s">
        <v>1057</v>
      </c>
      <c r="J43" s="496"/>
      <c r="K43" s="1410"/>
      <c r="L43" s="135"/>
      <c r="M43" s="2186"/>
      <c r="N43" s="260"/>
      <c r="O43" s="1536"/>
      <c r="P43" s="1536"/>
    </row>
    <row r="44" spans="1:16" s="1908" customFormat="1" ht="0.75" hidden="1" customHeight="1">
      <c r="A44" s="1690"/>
      <c r="B44" s="1690"/>
      <c r="C44" s="297" t="s">
        <v>1062</v>
      </c>
      <c r="D44" s="2415"/>
      <c r="E44" s="2223"/>
      <c r="F44" s="2358"/>
      <c r="G44" s="334"/>
      <c r="H44" s="1410"/>
      <c r="I44" s="572"/>
      <c r="J44" s="496"/>
      <c r="K44" s="1410"/>
      <c r="L44" s="135"/>
      <c r="M44" s="2186"/>
      <c r="N44" s="260"/>
      <c r="O44" s="1536"/>
      <c r="P44" s="1536"/>
    </row>
    <row r="45" spans="1:16" s="1908" customFormat="1" ht="18.75" hidden="1" customHeight="1">
      <c r="A45" s="1690" t="s">
        <v>196</v>
      </c>
      <c r="B45" s="1690" t="s">
        <v>197</v>
      </c>
      <c r="C45" s="297"/>
      <c r="D45" s="2415"/>
      <c r="E45" s="2223"/>
      <c r="F45" s="2358" t="str">
        <f>INDEX(PT_DIFFERENTIATION_VTAR,MATCH(A45,PT_DIFFERENTIATION_VTAR_ID,0))</f>
        <v>Плата за подключение (технологическое присоединение) к системе теплоснабжения</v>
      </c>
      <c r="G45" s="2386" t="str">
        <f>INDEX(PT_DIFFERENTIATION_NTAR,MATCH(B45,PT_DIFFERENTIATION_NTAR_ID,0))</f>
        <v/>
      </c>
      <c r="H45" s="1772"/>
      <c r="I45" s="1648"/>
      <c r="J45" s="1683"/>
      <c r="K45" s="1775"/>
      <c r="L45" s="1772" t="s">
        <v>295</v>
      </c>
      <c r="M45" s="2186"/>
      <c r="N45" s="260"/>
      <c r="O45" s="1536"/>
      <c r="P45" s="1536"/>
    </row>
    <row r="46" spans="1:16" s="1908" customFormat="1" ht="18.75" hidden="1" customHeight="1">
      <c r="A46" s="1690"/>
      <c r="B46" s="1690"/>
      <c r="C46" s="297" t="s">
        <v>1056</v>
      </c>
      <c r="D46" s="2415"/>
      <c r="E46" s="2223"/>
      <c r="F46" s="2358"/>
      <c r="G46" s="2386"/>
      <c r="H46" s="1410"/>
      <c r="I46" s="572" t="s">
        <v>1057</v>
      </c>
      <c r="J46" s="496"/>
      <c r="K46" s="1410"/>
      <c r="L46" s="135"/>
      <c r="M46" s="2186"/>
      <c r="N46" s="260"/>
      <c r="O46" s="1536"/>
      <c r="P46" s="1536"/>
    </row>
    <row r="47" spans="1:16" s="1908" customFormat="1" ht="0.75" hidden="1" customHeight="1">
      <c r="A47" s="1690"/>
      <c r="B47" s="1690"/>
      <c r="C47" s="297" t="s">
        <v>1062</v>
      </c>
      <c r="D47" s="2415"/>
      <c r="E47" s="2223"/>
      <c r="F47" s="2358"/>
      <c r="G47" s="334"/>
      <c r="H47" s="1410"/>
      <c r="I47" s="572"/>
      <c r="J47" s="496"/>
      <c r="K47" s="1410"/>
      <c r="L47" s="135"/>
      <c r="M47" s="2186"/>
      <c r="N47" s="260"/>
      <c r="O47" s="1536"/>
      <c r="P47" s="1536"/>
    </row>
    <row r="48" spans="1:16" s="1908" customFormat="1" ht="18.75" hidden="1" customHeight="1">
      <c r="A48" s="1690" t="s">
        <v>211</v>
      </c>
      <c r="B48" s="1690" t="s">
        <v>212</v>
      </c>
      <c r="C48" s="297"/>
      <c r="D48" s="2415"/>
      <c r="E48" s="2223"/>
      <c r="F48" s="2358" t="str">
        <f>INDEX(PT_DIFFERENTIATION_VTAR,MATCH(A48,PT_DIFFERENTIATION_VTAR_ID,0))</f>
        <v>Тариф на питьевую воду (питьевое водоснабжение)</v>
      </c>
      <c r="G48" s="2386" t="str">
        <f>INDEX(PT_DIFFERENTIATION_NTAR,MATCH(B48,PT_DIFFERENTIATION_NTAR_ID,0))</f>
        <v/>
      </c>
      <c r="H48" s="1772"/>
      <c r="I48" s="1648"/>
      <c r="J48" s="1683"/>
      <c r="K48" s="1775"/>
      <c r="L48" s="1772" t="s">
        <v>295</v>
      </c>
      <c r="M48" s="2186"/>
      <c r="N48" s="260"/>
      <c r="O48" s="1536"/>
      <c r="P48" s="1536"/>
    </row>
    <row r="49" spans="1:16" s="1908" customFormat="1" ht="18.75" hidden="1" customHeight="1">
      <c r="A49" s="1690"/>
      <c r="B49" s="1690"/>
      <c r="C49" s="297" t="s">
        <v>1056</v>
      </c>
      <c r="D49" s="2415"/>
      <c r="E49" s="2223"/>
      <c r="F49" s="2358"/>
      <c r="G49" s="2386"/>
      <c r="H49" s="1410"/>
      <c r="I49" s="572" t="s">
        <v>1057</v>
      </c>
      <c r="J49" s="496"/>
      <c r="K49" s="1410"/>
      <c r="L49" s="135"/>
      <c r="M49" s="2186"/>
      <c r="N49" s="260"/>
      <c r="O49" s="1536"/>
      <c r="P49" s="1536"/>
    </row>
    <row r="50" spans="1:16" s="1908" customFormat="1" ht="0.75" hidden="1" customHeight="1">
      <c r="A50" s="1690"/>
      <c r="B50" s="1690"/>
      <c r="C50" s="297" t="s">
        <v>1062</v>
      </c>
      <c r="D50" s="2415"/>
      <c r="E50" s="2223"/>
      <c r="F50" s="2358"/>
      <c r="G50" s="334"/>
      <c r="H50" s="1410"/>
      <c r="I50" s="572"/>
      <c r="J50" s="496"/>
      <c r="K50" s="1410"/>
      <c r="L50" s="135"/>
      <c r="M50" s="2186"/>
      <c r="N50" s="260"/>
      <c r="O50" s="1536"/>
      <c r="P50" s="1536"/>
    </row>
    <row r="51" spans="1:16" s="1908" customFormat="1" ht="18.75" hidden="1" customHeight="1">
      <c r="A51" s="1690" t="s">
        <v>219</v>
      </c>
      <c r="B51" s="1690" t="s">
        <v>220</v>
      </c>
      <c r="C51" s="297"/>
      <c r="D51" s="2415"/>
      <c r="E51" s="2223"/>
      <c r="F51" s="2358" t="str">
        <f>INDEX(PT_DIFFERENTIATION_VTAR,MATCH(A51,PT_DIFFERENTIATION_VTAR_ID,0))</f>
        <v>Тариф на техническую воду</v>
      </c>
      <c r="G51" s="2386" t="str">
        <f>INDEX(PT_DIFFERENTIATION_NTAR,MATCH(B51,PT_DIFFERENTIATION_NTAR_ID,0))</f>
        <v/>
      </c>
      <c r="H51" s="1772"/>
      <c r="I51" s="1648"/>
      <c r="J51" s="1683"/>
      <c r="K51" s="1775"/>
      <c r="L51" s="1772" t="s">
        <v>295</v>
      </c>
      <c r="M51" s="2186"/>
      <c r="N51" s="260"/>
      <c r="O51" s="1536"/>
      <c r="P51" s="1536"/>
    </row>
    <row r="52" spans="1:16" s="1908" customFormat="1" ht="18.75" hidden="1" customHeight="1">
      <c r="A52" s="1690"/>
      <c r="B52" s="1690"/>
      <c r="C52" s="297" t="s">
        <v>1056</v>
      </c>
      <c r="D52" s="2415"/>
      <c r="E52" s="2223"/>
      <c r="F52" s="2358"/>
      <c r="G52" s="2386"/>
      <c r="H52" s="1410"/>
      <c r="I52" s="572" t="s">
        <v>1057</v>
      </c>
      <c r="J52" s="496"/>
      <c r="K52" s="1410"/>
      <c r="L52" s="135"/>
      <c r="M52" s="2186"/>
      <c r="N52" s="260"/>
      <c r="O52" s="1536"/>
      <c r="P52" s="1536"/>
    </row>
    <row r="53" spans="1:16" s="1908" customFormat="1" ht="0.75" hidden="1" customHeight="1">
      <c r="A53" s="1690"/>
      <c r="B53" s="1690"/>
      <c r="C53" s="297" t="s">
        <v>1062</v>
      </c>
      <c r="D53" s="2415"/>
      <c r="E53" s="2223"/>
      <c r="F53" s="2358"/>
      <c r="G53" s="334"/>
      <c r="H53" s="1410"/>
      <c r="I53" s="572"/>
      <c r="J53" s="496"/>
      <c r="K53" s="1410"/>
      <c r="L53" s="135"/>
      <c r="M53" s="2186"/>
      <c r="N53" s="260"/>
      <c r="O53" s="1536"/>
      <c r="P53" s="1536"/>
    </row>
    <row r="54" spans="1:16" s="1908" customFormat="1" ht="18.75" hidden="1" customHeight="1">
      <c r="A54" s="1690" t="s">
        <v>224</v>
      </c>
      <c r="B54" s="1690" t="s">
        <v>225</v>
      </c>
      <c r="C54" s="297"/>
      <c r="D54" s="2415"/>
      <c r="E54" s="2223"/>
      <c r="F54" s="2358" t="str">
        <f>INDEX(PT_DIFFERENTIATION_VTAR,MATCH(A54,PT_DIFFERENTIATION_VTAR_ID,0))</f>
        <v>Тариф на транспортировку воды</v>
      </c>
      <c r="G54" s="2386" t="str">
        <f>INDEX(PT_DIFFERENTIATION_NTAR,MATCH(B54,PT_DIFFERENTIATION_NTAR_ID,0))</f>
        <v/>
      </c>
      <c r="H54" s="1772"/>
      <c r="I54" s="1648"/>
      <c r="J54" s="1683"/>
      <c r="K54" s="1775"/>
      <c r="L54" s="1772" t="s">
        <v>295</v>
      </c>
      <c r="M54" s="2186"/>
      <c r="N54" s="260"/>
      <c r="O54" s="1536"/>
      <c r="P54" s="1536"/>
    </row>
    <row r="55" spans="1:16" s="1908" customFormat="1" ht="18.75" hidden="1" customHeight="1">
      <c r="A55" s="1690"/>
      <c r="B55" s="1690"/>
      <c r="C55" s="297" t="s">
        <v>1056</v>
      </c>
      <c r="D55" s="2415"/>
      <c r="E55" s="2223"/>
      <c r="F55" s="2358"/>
      <c r="G55" s="2386"/>
      <c r="H55" s="1410"/>
      <c r="I55" s="572" t="s">
        <v>1057</v>
      </c>
      <c r="J55" s="496"/>
      <c r="K55" s="1410"/>
      <c r="L55" s="135"/>
      <c r="M55" s="2186"/>
      <c r="N55" s="260"/>
      <c r="O55" s="1536"/>
      <c r="P55" s="1536"/>
    </row>
    <row r="56" spans="1:16" s="1908" customFormat="1" ht="0.75" hidden="1" customHeight="1">
      <c r="A56" s="1690"/>
      <c r="B56" s="1690"/>
      <c r="C56" s="297" t="s">
        <v>1062</v>
      </c>
      <c r="D56" s="2415"/>
      <c r="E56" s="2223"/>
      <c r="F56" s="2358"/>
      <c r="G56" s="334"/>
      <c r="H56" s="1410"/>
      <c r="I56" s="572"/>
      <c r="J56" s="496"/>
      <c r="K56" s="1410"/>
      <c r="L56" s="135"/>
      <c r="M56" s="2186"/>
      <c r="N56" s="260"/>
      <c r="O56" s="1536"/>
      <c r="P56" s="1536"/>
    </row>
    <row r="57" spans="1:16" s="1908" customFormat="1" ht="18.75" hidden="1" customHeight="1">
      <c r="A57" s="1690" t="s">
        <v>229</v>
      </c>
      <c r="B57" s="1690" t="s">
        <v>230</v>
      </c>
      <c r="C57" s="297"/>
      <c r="D57" s="2415"/>
      <c r="E57" s="2223"/>
      <c r="F57" s="2358" t="str">
        <f>INDEX(PT_DIFFERENTIATION_VTAR,MATCH(A57,PT_DIFFERENTIATION_VTAR_ID,0))</f>
        <v>Тариф на подвоз воды</v>
      </c>
      <c r="G57" s="2386" t="str">
        <f>INDEX(PT_DIFFERENTIATION_NTAR,MATCH(B57,PT_DIFFERENTIATION_NTAR_ID,0))</f>
        <v/>
      </c>
      <c r="H57" s="1772"/>
      <c r="I57" s="1648"/>
      <c r="J57" s="1683"/>
      <c r="K57" s="1775"/>
      <c r="L57" s="1772" t="s">
        <v>295</v>
      </c>
      <c r="M57" s="2186"/>
      <c r="N57" s="260"/>
      <c r="O57" s="1536"/>
      <c r="P57" s="1536"/>
    </row>
    <row r="58" spans="1:16" s="1908" customFormat="1" ht="18.75" hidden="1" customHeight="1">
      <c r="A58" s="1690"/>
      <c r="B58" s="1690"/>
      <c r="C58" s="297" t="s">
        <v>1056</v>
      </c>
      <c r="D58" s="2415"/>
      <c r="E58" s="2223"/>
      <c r="F58" s="2358"/>
      <c r="G58" s="2386"/>
      <c r="H58" s="1410"/>
      <c r="I58" s="572" t="s">
        <v>1057</v>
      </c>
      <c r="J58" s="496"/>
      <c r="K58" s="1410"/>
      <c r="L58" s="135"/>
      <c r="M58" s="2186"/>
      <c r="N58" s="260"/>
      <c r="O58" s="1536"/>
      <c r="P58" s="1536"/>
    </row>
    <row r="59" spans="1:16" s="1908" customFormat="1" ht="0.75" hidden="1" customHeight="1">
      <c r="A59" s="1690"/>
      <c r="B59" s="1690"/>
      <c r="C59" s="297" t="s">
        <v>1062</v>
      </c>
      <c r="D59" s="2415"/>
      <c r="E59" s="2223"/>
      <c r="F59" s="2358"/>
      <c r="G59" s="334"/>
      <c r="H59" s="1410"/>
      <c r="I59" s="572"/>
      <c r="J59" s="496"/>
      <c r="K59" s="1410"/>
      <c r="L59" s="135"/>
      <c r="M59" s="2186"/>
      <c r="N59" s="260"/>
      <c r="O59" s="1536"/>
      <c r="P59" s="1536"/>
    </row>
    <row r="60" spans="1:16" s="1908" customFormat="1" ht="18.75" hidden="1" customHeight="1">
      <c r="A60" s="1690" t="s">
        <v>234</v>
      </c>
      <c r="B60" s="1690" t="s">
        <v>235</v>
      </c>
      <c r="C60" s="297"/>
      <c r="D60" s="2415"/>
      <c r="E60" s="2223"/>
      <c r="F60" s="2358" t="str">
        <f>INDEX(PT_DIFFERENTIATION_VTAR,MATCH(A60,PT_DIFFERENTIATION_VTAR_ID,0))</f>
        <v>Тариф на подключение (технологическое присоединение) к централизованной системе холодного водоснабжения</v>
      </c>
      <c r="G60" s="2386" t="str">
        <f>INDEX(PT_DIFFERENTIATION_NTAR,MATCH(B60,PT_DIFFERENTIATION_NTAR_ID,0))</f>
        <v/>
      </c>
      <c r="H60" s="1772"/>
      <c r="I60" s="1648"/>
      <c r="J60" s="1683"/>
      <c r="K60" s="1775"/>
      <c r="L60" s="1772" t="s">
        <v>295</v>
      </c>
      <c r="M60" s="2186"/>
      <c r="N60" s="260"/>
      <c r="O60" s="1536"/>
      <c r="P60" s="1536"/>
    </row>
    <row r="61" spans="1:16" s="1908" customFormat="1" ht="18.75" hidden="1" customHeight="1">
      <c r="A61" s="1690"/>
      <c r="B61" s="1690"/>
      <c r="C61" s="297" t="s">
        <v>1056</v>
      </c>
      <c r="D61" s="2415"/>
      <c r="E61" s="2223"/>
      <c r="F61" s="2358"/>
      <c r="G61" s="2386"/>
      <c r="H61" s="1410"/>
      <c r="I61" s="572" t="s">
        <v>1057</v>
      </c>
      <c r="J61" s="496"/>
      <c r="K61" s="1410"/>
      <c r="L61" s="135"/>
      <c r="M61" s="2186"/>
      <c r="N61" s="260"/>
      <c r="O61" s="1536"/>
      <c r="P61" s="1536"/>
    </row>
    <row r="62" spans="1:16" s="1908" customFormat="1" ht="0.75" hidden="1" customHeight="1">
      <c r="A62" s="1690"/>
      <c r="B62" s="1690"/>
      <c r="C62" s="297" t="s">
        <v>1062</v>
      </c>
      <c r="D62" s="2415"/>
      <c r="E62" s="2223"/>
      <c r="F62" s="2358"/>
      <c r="G62" s="334"/>
      <c r="H62" s="1410"/>
      <c r="I62" s="572"/>
      <c r="J62" s="496"/>
      <c r="K62" s="1410"/>
      <c r="L62" s="135"/>
      <c r="M62" s="2186"/>
      <c r="N62" s="260"/>
      <c r="O62" s="1536"/>
      <c r="P62" s="1536"/>
    </row>
    <row r="63" spans="1:16" s="1908" customFormat="1" ht="18.75" hidden="1" customHeight="1">
      <c r="A63" s="1690" t="s">
        <v>239</v>
      </c>
      <c r="B63" s="1690" t="s">
        <v>240</v>
      </c>
      <c r="C63" s="297"/>
      <c r="D63" s="2415"/>
      <c r="E63" s="2223"/>
      <c r="F63" s="2358" t="str">
        <f>INDEX(PT_DIFFERENTIATION_VTAR,MATCH(A63,PT_DIFFERENTIATION_VTAR_ID,0))</f>
        <v>Тариф на горячую воду (горячее водоснабжение)</v>
      </c>
      <c r="G63" s="2386" t="str">
        <f>INDEX(PT_DIFFERENTIATION_NTAR,MATCH(B63,PT_DIFFERENTIATION_NTAR_ID,0))</f>
        <v/>
      </c>
      <c r="H63" s="1772"/>
      <c r="I63" s="1648"/>
      <c r="J63" s="1683"/>
      <c r="K63" s="1775"/>
      <c r="L63" s="1772" t="s">
        <v>295</v>
      </c>
      <c r="M63" s="2186"/>
      <c r="N63" s="260"/>
      <c r="O63" s="1536"/>
      <c r="P63" s="1536"/>
    </row>
    <row r="64" spans="1:16" s="1908" customFormat="1" ht="18.75" hidden="1" customHeight="1">
      <c r="A64" s="1690"/>
      <c r="B64" s="1690"/>
      <c r="C64" s="297" t="s">
        <v>1056</v>
      </c>
      <c r="D64" s="2415"/>
      <c r="E64" s="2223"/>
      <c r="F64" s="2358"/>
      <c r="G64" s="2386"/>
      <c r="H64" s="1410"/>
      <c r="I64" s="572" t="s">
        <v>1057</v>
      </c>
      <c r="J64" s="496"/>
      <c r="K64" s="1410"/>
      <c r="L64" s="135"/>
      <c r="M64" s="2186"/>
      <c r="N64" s="260"/>
      <c r="O64" s="1536"/>
      <c r="P64" s="1536"/>
    </row>
    <row r="65" spans="1:16" s="1908" customFormat="1" ht="0.75" hidden="1" customHeight="1">
      <c r="A65" s="1690"/>
      <c r="B65" s="1690"/>
      <c r="C65" s="297" t="s">
        <v>1062</v>
      </c>
      <c r="D65" s="2415"/>
      <c r="E65" s="2223"/>
      <c r="F65" s="2358"/>
      <c r="G65" s="334"/>
      <c r="H65" s="1410"/>
      <c r="I65" s="572"/>
      <c r="J65" s="496"/>
      <c r="K65" s="1410"/>
      <c r="L65" s="135"/>
      <c r="M65" s="2186"/>
      <c r="N65" s="260"/>
      <c r="O65" s="1536"/>
      <c r="P65" s="1536"/>
    </row>
    <row r="66" spans="1:16" s="1908" customFormat="1" ht="18.75" hidden="1" customHeight="1">
      <c r="A66" s="1690" t="s">
        <v>244</v>
      </c>
      <c r="B66" s="1690" t="s">
        <v>245</v>
      </c>
      <c r="C66" s="297"/>
      <c r="D66" s="2415"/>
      <c r="E66" s="2223"/>
      <c r="F66" s="2358" t="str">
        <f>INDEX(PT_DIFFERENTIATION_VTAR,MATCH(A66,PT_DIFFERENTIATION_VTAR_ID,0))</f>
        <v>Тариф на транспортировку горячей воды</v>
      </c>
      <c r="G66" s="2386" t="str">
        <f>INDEX(PT_DIFFERENTIATION_NTAR,MATCH(B66,PT_DIFFERENTIATION_NTAR_ID,0))</f>
        <v/>
      </c>
      <c r="H66" s="1772"/>
      <c r="I66" s="1648"/>
      <c r="J66" s="1683"/>
      <c r="K66" s="1775"/>
      <c r="L66" s="1772" t="s">
        <v>295</v>
      </c>
      <c r="M66" s="2186"/>
      <c r="N66" s="260"/>
      <c r="O66" s="1536"/>
      <c r="P66" s="1536"/>
    </row>
    <row r="67" spans="1:16" s="1908" customFormat="1" ht="18.75" hidden="1" customHeight="1">
      <c r="A67" s="1690"/>
      <c r="B67" s="1690"/>
      <c r="C67" s="297" t="s">
        <v>1056</v>
      </c>
      <c r="D67" s="2415"/>
      <c r="E67" s="2223"/>
      <c r="F67" s="2358"/>
      <c r="G67" s="2386"/>
      <c r="H67" s="1410"/>
      <c r="I67" s="572" t="s">
        <v>1057</v>
      </c>
      <c r="J67" s="496"/>
      <c r="K67" s="1410"/>
      <c r="L67" s="135"/>
      <c r="M67" s="2186"/>
      <c r="N67" s="260"/>
      <c r="O67" s="1536"/>
      <c r="P67" s="1536"/>
    </row>
    <row r="68" spans="1:16" s="1908" customFormat="1" ht="0.75" hidden="1" customHeight="1">
      <c r="A68" s="1690"/>
      <c r="B68" s="1690"/>
      <c r="C68" s="297" t="s">
        <v>1062</v>
      </c>
      <c r="D68" s="2415"/>
      <c r="E68" s="2223"/>
      <c r="F68" s="2358"/>
      <c r="G68" s="334"/>
      <c r="H68" s="1410"/>
      <c r="I68" s="572"/>
      <c r="J68" s="496"/>
      <c r="K68" s="1410"/>
      <c r="L68" s="135"/>
      <c r="M68" s="2186"/>
      <c r="N68" s="260"/>
      <c r="O68" s="1536"/>
      <c r="P68" s="1536"/>
    </row>
    <row r="69" spans="1:16" s="1908" customFormat="1" ht="18.75" hidden="1" customHeight="1">
      <c r="A69" s="1690" t="s">
        <v>249</v>
      </c>
      <c r="B69" s="1690" t="s">
        <v>250</v>
      </c>
      <c r="C69" s="297"/>
      <c r="D69" s="2415"/>
      <c r="E69" s="2223"/>
      <c r="F69" s="2358" t="str">
        <f>INDEX(PT_DIFFERENTIATION_VTAR,MATCH(A69,PT_DIFFERENTIATION_VTAR_ID,0))</f>
        <v>Тариф на подключение (технологическое присоединение) к централизованной системе горячего водоснабжения</v>
      </c>
      <c r="G69" s="2386" t="str">
        <f>INDEX(PT_DIFFERENTIATION_NTAR,MATCH(B69,PT_DIFFERENTIATION_NTAR_ID,0))</f>
        <v/>
      </c>
      <c r="H69" s="1772"/>
      <c r="I69" s="1648"/>
      <c r="J69" s="1683"/>
      <c r="K69" s="1775"/>
      <c r="L69" s="1772" t="s">
        <v>295</v>
      </c>
      <c r="M69" s="2186"/>
      <c r="N69" s="260"/>
      <c r="O69" s="1536"/>
      <c r="P69" s="1536"/>
    </row>
    <row r="70" spans="1:16" s="1908" customFormat="1" ht="18.75" hidden="1" customHeight="1">
      <c r="A70" s="1690"/>
      <c r="B70" s="1690"/>
      <c r="C70" s="297" t="s">
        <v>1056</v>
      </c>
      <c r="D70" s="2415"/>
      <c r="E70" s="2223"/>
      <c r="F70" s="2358"/>
      <c r="G70" s="2386"/>
      <c r="H70" s="1410"/>
      <c r="I70" s="572" t="s">
        <v>1057</v>
      </c>
      <c r="J70" s="496"/>
      <c r="K70" s="1410"/>
      <c r="L70" s="135"/>
      <c r="M70" s="2186"/>
      <c r="N70" s="260"/>
      <c r="O70" s="1536"/>
      <c r="P70" s="1536"/>
    </row>
    <row r="71" spans="1:16" s="1908" customFormat="1" ht="0.75" hidden="1" customHeight="1">
      <c r="A71" s="1690"/>
      <c r="B71" s="1690"/>
      <c r="C71" s="297" t="s">
        <v>1062</v>
      </c>
      <c r="D71" s="2415"/>
      <c r="E71" s="2223"/>
      <c r="F71" s="2358"/>
      <c r="G71" s="334"/>
      <c r="H71" s="1410"/>
      <c r="I71" s="572"/>
      <c r="J71" s="496"/>
      <c r="K71" s="1410"/>
      <c r="L71" s="135"/>
      <c r="M71" s="2186"/>
      <c r="N71" s="260"/>
      <c r="O71" s="1536"/>
      <c r="P71" s="1536"/>
    </row>
    <row r="72" spans="1:16" s="1908" customFormat="1" ht="18.75" hidden="1" customHeight="1">
      <c r="A72" s="1690" t="s">
        <v>254</v>
      </c>
      <c r="B72" s="1690" t="s">
        <v>255</v>
      </c>
      <c r="C72" s="297"/>
      <c r="D72" s="2415"/>
      <c r="E72" s="2223"/>
      <c r="F72" s="2358" t="str">
        <f>INDEX(PT_DIFFERENTIATION_VTAR,MATCH(A72,PT_DIFFERENTIATION_VTAR_ID,0))</f>
        <v>Тариф на водоотведение</v>
      </c>
      <c r="G72" s="2386" t="str">
        <f>INDEX(PT_DIFFERENTIATION_NTAR,MATCH(B72,PT_DIFFERENTIATION_NTAR_ID,0))</f>
        <v/>
      </c>
      <c r="H72" s="1772"/>
      <c r="I72" s="1648"/>
      <c r="J72" s="1683"/>
      <c r="K72" s="1775"/>
      <c r="L72" s="1772" t="s">
        <v>295</v>
      </c>
      <c r="M72" s="2186"/>
      <c r="N72" s="260"/>
      <c r="O72" s="1536"/>
      <c r="P72" s="1536"/>
    </row>
    <row r="73" spans="1:16" s="1908" customFormat="1" ht="18.75" hidden="1" customHeight="1">
      <c r="A73" s="1690"/>
      <c r="B73" s="1690"/>
      <c r="C73" s="297" t="s">
        <v>1056</v>
      </c>
      <c r="D73" s="2415"/>
      <c r="E73" s="2223"/>
      <c r="F73" s="2358"/>
      <c r="G73" s="2386"/>
      <c r="H73" s="1410"/>
      <c r="I73" s="572" t="s">
        <v>1057</v>
      </c>
      <c r="J73" s="496"/>
      <c r="K73" s="1410"/>
      <c r="L73" s="135"/>
      <c r="M73" s="2186"/>
      <c r="N73" s="260"/>
      <c r="O73" s="1536"/>
      <c r="P73" s="1536"/>
    </row>
    <row r="74" spans="1:16" s="1908" customFormat="1" ht="0.75" hidden="1" customHeight="1">
      <c r="A74" s="1690"/>
      <c r="B74" s="1690"/>
      <c r="C74" s="297" t="s">
        <v>1062</v>
      </c>
      <c r="D74" s="2415"/>
      <c r="E74" s="2223"/>
      <c r="F74" s="2358"/>
      <c r="G74" s="334"/>
      <c r="H74" s="1410"/>
      <c r="I74" s="572"/>
      <c r="J74" s="496"/>
      <c r="K74" s="1410"/>
      <c r="L74" s="135"/>
      <c r="M74" s="2186"/>
      <c r="N74" s="260"/>
      <c r="O74" s="1536"/>
      <c r="P74" s="1536"/>
    </row>
    <row r="75" spans="1:16" s="1908" customFormat="1" ht="18.75" hidden="1" customHeight="1">
      <c r="A75" s="1690" t="s">
        <v>259</v>
      </c>
      <c r="B75" s="1690" t="s">
        <v>260</v>
      </c>
      <c r="C75" s="297"/>
      <c r="D75" s="2415"/>
      <c r="E75" s="2223"/>
      <c r="F75" s="2358" t="str">
        <f>INDEX(PT_DIFFERENTIATION_VTAR,MATCH(A75,PT_DIFFERENTIATION_VTAR_ID,0))</f>
        <v>Тариф на транспортировку сточных вод</v>
      </c>
      <c r="G75" s="2386" t="str">
        <f>INDEX(PT_DIFFERENTIATION_NTAR,MATCH(B75,PT_DIFFERENTIATION_NTAR_ID,0))</f>
        <v/>
      </c>
      <c r="H75" s="1772"/>
      <c r="I75" s="1648"/>
      <c r="J75" s="1683"/>
      <c r="K75" s="1775"/>
      <c r="L75" s="1772" t="s">
        <v>295</v>
      </c>
      <c r="M75" s="2186"/>
      <c r="N75" s="260"/>
      <c r="O75" s="1536"/>
      <c r="P75" s="1536"/>
    </row>
    <row r="76" spans="1:16" s="1908" customFormat="1" ht="18.75" hidden="1" customHeight="1">
      <c r="A76" s="1690"/>
      <c r="B76" s="1690"/>
      <c r="C76" s="297" t="s">
        <v>1056</v>
      </c>
      <c r="D76" s="2415"/>
      <c r="E76" s="2223"/>
      <c r="F76" s="2358"/>
      <c r="G76" s="2386"/>
      <c r="H76" s="1410"/>
      <c r="I76" s="572" t="s">
        <v>1057</v>
      </c>
      <c r="J76" s="496"/>
      <c r="K76" s="1410"/>
      <c r="L76" s="135"/>
      <c r="M76" s="2186"/>
      <c r="N76" s="260"/>
      <c r="O76" s="1536"/>
      <c r="P76" s="1536"/>
    </row>
    <row r="77" spans="1:16" s="1908" customFormat="1" ht="0.75" hidden="1" customHeight="1">
      <c r="A77" s="1690"/>
      <c r="B77" s="1690"/>
      <c r="C77" s="297" t="s">
        <v>1062</v>
      </c>
      <c r="D77" s="2415"/>
      <c r="E77" s="2223"/>
      <c r="F77" s="2358"/>
      <c r="G77" s="334"/>
      <c r="H77" s="1410"/>
      <c r="I77" s="572"/>
      <c r="J77" s="496"/>
      <c r="K77" s="1410"/>
      <c r="L77" s="135"/>
      <c r="M77" s="2186"/>
      <c r="N77" s="260"/>
      <c r="O77" s="1536"/>
      <c r="P77" s="1536"/>
    </row>
    <row r="78" spans="1:16" s="1908" customFormat="1" ht="18.75" hidden="1" customHeight="1">
      <c r="A78" s="1690" t="s">
        <v>264</v>
      </c>
      <c r="B78" s="1690" t="s">
        <v>265</v>
      </c>
      <c r="C78" s="297"/>
      <c r="D78" s="2415"/>
      <c r="E78" s="2223"/>
      <c r="F78" s="2358" t="str">
        <f>INDEX(PT_DIFFERENTIATION_VTAR,MATCH(A78,PT_DIFFERENTIATION_VTAR_ID,0))</f>
        <v>Тариф на подключение (технологическое присоединение) к централизованной системе водоотведения</v>
      </c>
      <c r="G78" s="2386" t="str">
        <f>INDEX(PT_DIFFERENTIATION_NTAR,MATCH(B78,PT_DIFFERENTIATION_NTAR_ID,0))</f>
        <v/>
      </c>
      <c r="H78" s="1772"/>
      <c r="I78" s="1648"/>
      <c r="J78" s="1683"/>
      <c r="K78" s="1775"/>
      <c r="L78" s="1772" t="s">
        <v>295</v>
      </c>
      <c r="M78" s="2186"/>
      <c r="N78" s="260"/>
      <c r="O78" s="1536"/>
      <c r="P78" s="1536"/>
    </row>
    <row r="79" spans="1:16" s="1908" customFormat="1" ht="18.75" hidden="1" customHeight="1">
      <c r="A79" s="1690"/>
      <c r="B79" s="1690"/>
      <c r="C79" s="297" t="s">
        <v>1056</v>
      </c>
      <c r="D79" s="2415"/>
      <c r="E79" s="2223"/>
      <c r="F79" s="2358"/>
      <c r="G79" s="2386"/>
      <c r="H79" s="1410"/>
      <c r="I79" s="572" t="s">
        <v>1057</v>
      </c>
      <c r="J79" s="496"/>
      <c r="K79" s="1410"/>
      <c r="L79" s="135"/>
      <c r="M79" s="2186"/>
      <c r="N79" s="260"/>
      <c r="O79" s="1536"/>
      <c r="P79" s="1536"/>
    </row>
    <row r="80" spans="1:16" s="1908" customFormat="1" ht="0.75" customHeight="1">
      <c r="A80" s="1690"/>
      <c r="B80" s="1690"/>
      <c r="C80" s="297" t="s">
        <v>1062</v>
      </c>
      <c r="D80" s="2415"/>
      <c r="E80" s="2223"/>
      <c r="F80" s="2358"/>
      <c r="G80" s="334"/>
      <c r="H80" s="1410"/>
      <c r="I80" s="572"/>
      <c r="J80" s="496"/>
      <c r="K80" s="1410"/>
      <c r="L80" s="135"/>
      <c r="M80" s="2186"/>
      <c r="N80" s="260"/>
      <c r="O80" s="1536"/>
      <c r="P80" s="1536"/>
    </row>
    <row r="81" spans="1:16" ht="18.75" customHeight="1">
      <c r="A81" s="1690"/>
      <c r="B81" s="1690"/>
      <c r="D81" s="305"/>
      <c r="E81" s="71" t="s">
        <v>109</v>
      </c>
      <c r="F81" s="241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1" s="2414"/>
      <c r="H81" s="2414"/>
      <c r="I81" s="2414"/>
      <c r="J81" s="2414"/>
      <c r="K81" s="2414"/>
      <c r="L81" s="2414"/>
      <c r="M81" s="215"/>
      <c r="N81" s="260"/>
    </row>
    <row r="82" spans="1:16" ht="33.75" customHeight="1">
      <c r="A82" s="1690"/>
      <c r="B82" s="1690"/>
      <c r="D82" s="305"/>
      <c r="E82" s="333"/>
      <c r="F82" s="119" t="s">
        <v>295</v>
      </c>
      <c r="G82" s="119" t="s">
        <v>295</v>
      </c>
      <c r="H82" s="2238" t="s">
        <v>295</v>
      </c>
      <c r="I82" s="2240"/>
      <c r="J82" s="119" t="s">
        <v>295</v>
      </c>
      <c r="K82" s="119" t="s">
        <v>295</v>
      </c>
      <c r="L82" s="335"/>
      <c r="M82" s="270" t="s">
        <v>1063</v>
      </c>
      <c r="N82" s="260"/>
    </row>
    <row r="83" spans="1:16" ht="18.75" customHeight="1">
      <c r="A83" s="1690"/>
      <c r="B83" s="1690"/>
      <c r="D83" s="305"/>
      <c r="E83" s="71" t="s">
        <v>89</v>
      </c>
      <c r="F83" s="2414" t="s">
        <v>1064</v>
      </c>
      <c r="G83" s="2414"/>
      <c r="H83" s="2414"/>
      <c r="I83" s="2414"/>
      <c r="J83" s="2414"/>
      <c r="K83" s="2414"/>
      <c r="L83" s="2414"/>
      <c r="M83" s="215"/>
      <c r="N83" s="260"/>
    </row>
    <row r="84" spans="1:16" s="1908" customFormat="1" ht="60.75" hidden="1" customHeight="1">
      <c r="A84" s="1690" t="s">
        <v>154</v>
      </c>
      <c r="B84" s="1690" t="s">
        <v>155</v>
      </c>
      <c r="C84" s="297"/>
      <c r="D84" s="2415"/>
      <c r="E84" s="2223"/>
      <c r="F84" s="2358"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86" t="str">
        <f>INDEX(PT_DIFFERENTIATION_NTAR,MATCH(B84,PT_DIFFERENTIATION_NTAR_ID,0))</f>
        <v/>
      </c>
      <c r="H84" s="1772"/>
      <c r="I84" s="1648"/>
      <c r="J84" s="1683"/>
      <c r="K84" s="1688"/>
      <c r="L84" s="1772" t="s">
        <v>295</v>
      </c>
      <c r="M84"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60"/>
      <c r="O84" s="1536"/>
      <c r="P84" s="1536"/>
    </row>
    <row r="85" spans="1:16" s="1908" customFormat="1" ht="18.75" hidden="1" customHeight="1">
      <c r="A85" s="1690"/>
      <c r="B85" s="1690"/>
      <c r="C85" s="297" t="s">
        <v>1058</v>
      </c>
      <c r="D85" s="2415"/>
      <c r="E85" s="2223"/>
      <c r="F85" s="2358"/>
      <c r="G85" s="2386"/>
      <c r="H85" s="1410"/>
      <c r="I85" s="572" t="s">
        <v>1057</v>
      </c>
      <c r="J85" s="496"/>
      <c r="K85" s="1410"/>
      <c r="L85" s="135"/>
      <c r="M85" s="2186"/>
      <c r="N85" s="260"/>
      <c r="O85" s="1536"/>
      <c r="P85" s="1536"/>
    </row>
    <row r="86" spans="1:16" s="1908" customFormat="1" ht="0.75" hidden="1" customHeight="1">
      <c r="A86" s="1690"/>
      <c r="B86" s="1690"/>
      <c r="C86" s="297" t="s">
        <v>1065</v>
      </c>
      <c r="D86" s="2415"/>
      <c r="E86" s="2223"/>
      <c r="F86" s="2358"/>
      <c r="G86" s="334"/>
      <c r="H86" s="1410"/>
      <c r="I86" s="572"/>
      <c r="J86" s="496"/>
      <c r="K86" s="1410"/>
      <c r="L86" s="135"/>
      <c r="M86" s="2186"/>
      <c r="N86" s="260"/>
      <c r="O86" s="1536"/>
      <c r="P86" s="1536"/>
    </row>
    <row r="87" spans="1:16" s="1908" customFormat="1" ht="45" hidden="1" customHeight="1">
      <c r="A87" s="1690" t="s">
        <v>160</v>
      </c>
      <c r="B87" s="1690" t="s">
        <v>161</v>
      </c>
      <c r="C87" s="297"/>
      <c r="D87" s="2415"/>
      <c r="E87" s="2223"/>
      <c r="F87" s="2358"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86" t="str">
        <f>INDEX(PT_DIFFERENTIATION_NTAR,MATCH(B87,PT_DIFFERENTIATION_NTAR_ID,0))</f>
        <v/>
      </c>
      <c r="H87" s="1772"/>
      <c r="I87" s="1648"/>
      <c r="J87" s="1683"/>
      <c r="K87" s="1688"/>
      <c r="L87" s="1772" t="s">
        <v>295</v>
      </c>
      <c r="M87" s="2187"/>
      <c r="N87" s="260"/>
      <c r="O87" s="1536"/>
      <c r="P87" s="1536"/>
    </row>
    <row r="88" spans="1:16" s="1908" customFormat="1" ht="18.75" hidden="1" customHeight="1">
      <c r="A88" s="1690"/>
      <c r="B88" s="1690"/>
      <c r="C88" s="297" t="s">
        <v>1058</v>
      </c>
      <c r="D88" s="2415"/>
      <c r="E88" s="2223"/>
      <c r="F88" s="2358"/>
      <c r="G88" s="2386"/>
      <c r="H88" s="1410"/>
      <c r="I88" s="572" t="s">
        <v>1057</v>
      </c>
      <c r="J88" s="496"/>
      <c r="K88" s="1410"/>
      <c r="L88" s="135"/>
      <c r="M88" s="1771"/>
      <c r="N88" s="260"/>
      <c r="O88" s="1536"/>
      <c r="P88" s="1536"/>
    </row>
    <row r="89" spans="1:16" s="1908" customFormat="1" ht="0.75" hidden="1" customHeight="1">
      <c r="A89" s="1690"/>
      <c r="B89" s="1690"/>
      <c r="C89" s="297" t="s">
        <v>1065</v>
      </c>
      <c r="D89" s="2415"/>
      <c r="E89" s="2223"/>
      <c r="F89" s="2358"/>
      <c r="G89" s="334"/>
      <c r="H89" s="1410"/>
      <c r="I89" s="572"/>
      <c r="J89" s="496"/>
      <c r="K89" s="1410"/>
      <c r="L89" s="135"/>
      <c r="M89" s="267"/>
      <c r="N89" s="260"/>
      <c r="O89" s="1536"/>
      <c r="P89" s="1536"/>
    </row>
    <row r="90" spans="1:16" s="1908" customFormat="1" ht="45" hidden="1" customHeight="1">
      <c r="A90" s="1690" t="s">
        <v>166</v>
      </c>
      <c r="B90" s="1690" t="s">
        <v>167</v>
      </c>
      <c r="C90" s="297"/>
      <c r="D90" s="2415"/>
      <c r="E90" s="2223"/>
      <c r="F90" s="2358"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86" t="str">
        <f>INDEX(PT_DIFFERENTIATION_NTAR,MATCH(B90,PT_DIFFERENTIATION_NTAR_ID,0))</f>
        <v/>
      </c>
      <c r="H90" s="1772"/>
      <c r="I90" s="1648"/>
      <c r="J90" s="1683"/>
      <c r="K90" s="1688"/>
      <c r="L90" s="1772" t="s">
        <v>295</v>
      </c>
      <c r="M90" s="267"/>
      <c r="N90" s="260"/>
      <c r="O90" s="1536"/>
      <c r="P90" s="1536"/>
    </row>
    <row r="91" spans="1:16" s="1908" customFormat="1" ht="18.75" hidden="1" customHeight="1">
      <c r="A91" s="1690"/>
      <c r="B91" s="1690"/>
      <c r="C91" s="297" t="s">
        <v>1058</v>
      </c>
      <c r="D91" s="2415"/>
      <c r="E91" s="2223"/>
      <c r="F91" s="2358"/>
      <c r="G91" s="2386"/>
      <c r="H91" s="1410"/>
      <c r="I91" s="572" t="s">
        <v>1057</v>
      </c>
      <c r="J91" s="496"/>
      <c r="K91" s="1410"/>
      <c r="L91" s="135"/>
      <c r="M91" s="267"/>
      <c r="N91" s="260"/>
      <c r="O91" s="1536"/>
      <c r="P91" s="1536"/>
    </row>
    <row r="92" spans="1:16" s="1908" customFormat="1" ht="0.75" hidden="1" customHeight="1">
      <c r="A92" s="1690"/>
      <c r="B92" s="1690"/>
      <c r="C92" s="297" t="s">
        <v>1065</v>
      </c>
      <c r="D92" s="2415"/>
      <c r="E92" s="2223"/>
      <c r="F92" s="2358"/>
      <c r="G92" s="334"/>
      <c r="H92" s="1410"/>
      <c r="I92" s="572"/>
      <c r="J92" s="496"/>
      <c r="K92" s="1410"/>
      <c r="L92" s="135"/>
      <c r="M92" s="267"/>
      <c r="N92" s="260"/>
      <c r="O92" s="1536"/>
      <c r="P92" s="1536"/>
    </row>
    <row r="93" spans="1:16" s="1908" customFormat="1" ht="45" hidden="1" customHeight="1">
      <c r="A93" s="1690" t="s">
        <v>172</v>
      </c>
      <c r="B93" s="1690" t="s">
        <v>173</v>
      </c>
      <c r="C93" s="297"/>
      <c r="D93" s="2415"/>
      <c r="E93" s="2223"/>
      <c r="F93" s="2358"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86" t="str">
        <f>INDEX(PT_DIFFERENTIATION_NTAR,MATCH(B93,PT_DIFFERENTIATION_NTAR_ID,0))</f>
        <v/>
      </c>
      <c r="H93" s="1772"/>
      <c r="I93" s="1648"/>
      <c r="J93" s="1683"/>
      <c r="K93" s="1688"/>
      <c r="L93" s="1772" t="s">
        <v>295</v>
      </c>
      <c r="M93" s="267"/>
      <c r="N93" s="260"/>
      <c r="O93" s="1536"/>
      <c r="P93" s="1536"/>
    </row>
    <row r="94" spans="1:16" s="1908" customFormat="1" ht="18.75" hidden="1" customHeight="1">
      <c r="A94" s="1690"/>
      <c r="B94" s="1690"/>
      <c r="C94" s="297" t="s">
        <v>1058</v>
      </c>
      <c r="D94" s="2415"/>
      <c r="E94" s="2223"/>
      <c r="F94" s="2358"/>
      <c r="G94" s="2386"/>
      <c r="H94" s="1410"/>
      <c r="I94" s="572" t="s">
        <v>1057</v>
      </c>
      <c r="J94" s="496"/>
      <c r="K94" s="1410"/>
      <c r="L94" s="135"/>
      <c r="M94" s="267"/>
      <c r="N94" s="260"/>
      <c r="O94" s="1536"/>
      <c r="P94" s="1536"/>
    </row>
    <row r="95" spans="1:16" s="1908" customFormat="1" ht="0.75" hidden="1" customHeight="1">
      <c r="A95" s="1690"/>
      <c r="B95" s="1690"/>
      <c r="C95" s="297" t="s">
        <v>1065</v>
      </c>
      <c r="D95" s="2415"/>
      <c r="E95" s="2223"/>
      <c r="F95" s="2358"/>
      <c r="G95" s="334"/>
      <c r="H95" s="1410"/>
      <c r="I95" s="572"/>
      <c r="J95" s="496"/>
      <c r="K95" s="1410"/>
      <c r="L95" s="135"/>
      <c r="M95" s="267"/>
      <c r="N95" s="260"/>
      <c r="O95" s="1536"/>
      <c r="P95" s="1536"/>
    </row>
    <row r="96" spans="1:16" s="1908" customFormat="1" ht="18.75" hidden="1" customHeight="1">
      <c r="A96" s="1690" t="s">
        <v>178</v>
      </c>
      <c r="B96" s="1690" t="s">
        <v>179</v>
      </c>
      <c r="C96" s="297"/>
      <c r="D96" s="2415"/>
      <c r="E96" s="2223"/>
      <c r="F96" s="2358" t="str">
        <f>INDEX(PT_DIFFERENTIATION_VTAR,MATCH(A96,PT_DIFFERENTIATION_VTAR_ID,0))</f>
        <v>Тарифы на услуги по передаче тепловой энергии</v>
      </c>
      <c r="G96" s="2386" t="str">
        <f>INDEX(PT_DIFFERENTIATION_NTAR,MATCH(B96,PT_DIFFERENTIATION_NTAR_ID,0))</f>
        <v/>
      </c>
      <c r="H96" s="1772"/>
      <c r="I96" s="1648"/>
      <c r="J96" s="1683"/>
      <c r="K96" s="1688"/>
      <c r="L96" s="1772" t="s">
        <v>295</v>
      </c>
      <c r="M96" s="267"/>
      <c r="N96" s="260"/>
      <c r="O96" s="1536"/>
      <c r="P96" s="1536"/>
    </row>
    <row r="97" spans="1:16" s="1908" customFormat="1" ht="18.75" hidden="1" customHeight="1">
      <c r="A97" s="1690"/>
      <c r="B97" s="1690"/>
      <c r="C97" s="297" t="s">
        <v>1058</v>
      </c>
      <c r="D97" s="2415"/>
      <c r="E97" s="2223"/>
      <c r="F97" s="2358"/>
      <c r="G97" s="2386"/>
      <c r="H97" s="1410"/>
      <c r="I97" s="572" t="s">
        <v>1057</v>
      </c>
      <c r="J97" s="496"/>
      <c r="K97" s="1410"/>
      <c r="L97" s="135"/>
      <c r="M97" s="267"/>
      <c r="N97" s="260"/>
      <c r="O97" s="1536"/>
      <c r="P97" s="1536"/>
    </row>
    <row r="98" spans="1:16" s="1908" customFormat="1" ht="0.75" hidden="1" customHeight="1">
      <c r="A98" s="1690"/>
      <c r="B98" s="1690"/>
      <c r="C98" s="297" t="s">
        <v>1065</v>
      </c>
      <c r="D98" s="2415"/>
      <c r="E98" s="2223"/>
      <c r="F98" s="2358"/>
      <c r="G98" s="334"/>
      <c r="H98" s="1410"/>
      <c r="I98" s="572"/>
      <c r="J98" s="496"/>
      <c r="K98" s="1410"/>
      <c r="L98" s="135"/>
      <c r="M98" s="267"/>
      <c r="N98" s="260"/>
      <c r="O98" s="1536"/>
      <c r="P98" s="1536"/>
    </row>
    <row r="99" spans="1:16" s="1908" customFormat="1" ht="18.75" hidden="1" customHeight="1">
      <c r="A99" s="1690" t="s">
        <v>184</v>
      </c>
      <c r="B99" s="1690" t="s">
        <v>185</v>
      </c>
      <c r="C99" s="297"/>
      <c r="D99" s="2415"/>
      <c r="E99" s="2223"/>
      <c r="F99" s="2358" t="str">
        <f>INDEX(PT_DIFFERENTIATION_VTAR,MATCH(A99,PT_DIFFERENTIATION_VTAR_ID,0))</f>
        <v>Тарифы на услуги по передаче теплоносителя</v>
      </c>
      <c r="G99" s="2386" t="str">
        <f>INDEX(PT_DIFFERENTIATION_NTAR,MATCH(B99,PT_DIFFERENTIATION_NTAR_ID,0))</f>
        <v/>
      </c>
      <c r="H99" s="1772"/>
      <c r="I99" s="1648"/>
      <c r="J99" s="1683"/>
      <c r="K99" s="1688"/>
      <c r="L99" s="1772" t="s">
        <v>295</v>
      </c>
      <c r="M99" s="267"/>
      <c r="N99" s="260"/>
      <c r="O99" s="1536"/>
      <c r="P99" s="1536"/>
    </row>
    <row r="100" spans="1:16" s="1908" customFormat="1" ht="18.75" hidden="1" customHeight="1">
      <c r="A100" s="1690"/>
      <c r="B100" s="1690"/>
      <c r="C100" s="297" t="s">
        <v>1058</v>
      </c>
      <c r="D100" s="2415"/>
      <c r="E100" s="2223"/>
      <c r="F100" s="2358"/>
      <c r="G100" s="2386"/>
      <c r="H100" s="1410"/>
      <c r="I100" s="572" t="s">
        <v>1057</v>
      </c>
      <c r="J100" s="496"/>
      <c r="K100" s="1410"/>
      <c r="L100" s="135"/>
      <c r="M100" s="267"/>
      <c r="N100" s="260"/>
      <c r="O100" s="1536"/>
      <c r="P100" s="1536"/>
    </row>
    <row r="101" spans="1:16" s="1908" customFormat="1" ht="0.75" hidden="1" customHeight="1">
      <c r="A101" s="1690"/>
      <c r="B101" s="1690"/>
      <c r="C101" s="297" t="s">
        <v>1065</v>
      </c>
      <c r="D101" s="2415"/>
      <c r="E101" s="2223"/>
      <c r="F101" s="2358"/>
      <c r="G101" s="334"/>
      <c r="H101" s="1410"/>
      <c r="I101" s="572"/>
      <c r="J101" s="496"/>
      <c r="K101" s="1410"/>
      <c r="L101" s="135"/>
      <c r="M101" s="267"/>
      <c r="N101" s="260"/>
      <c r="O101" s="1536"/>
      <c r="P101" s="1536"/>
    </row>
    <row r="102" spans="1:16" s="1908" customFormat="1" ht="18.75" hidden="1" customHeight="1">
      <c r="A102" s="1690" t="s">
        <v>190</v>
      </c>
      <c r="B102" s="1690" t="s">
        <v>191</v>
      </c>
      <c r="C102" s="297"/>
      <c r="D102" s="2415"/>
      <c r="E102" s="2223"/>
      <c r="F102" s="2358"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86" t="str">
        <f>INDEX(PT_DIFFERENTIATION_NTAR,MATCH(B102,PT_DIFFERENTIATION_NTAR_ID,0))</f>
        <v/>
      </c>
      <c r="H102" s="1772"/>
      <c r="I102" s="1648"/>
      <c r="J102" s="1683"/>
      <c r="K102" s="1688"/>
      <c r="L102" s="1772" t="s">
        <v>295</v>
      </c>
      <c r="M102" s="267"/>
      <c r="N102" s="260"/>
      <c r="O102" s="1536"/>
      <c r="P102" s="1536"/>
    </row>
    <row r="103" spans="1:16" s="1908" customFormat="1" ht="18.75" hidden="1" customHeight="1">
      <c r="A103" s="1690"/>
      <c r="B103" s="1690"/>
      <c r="C103" s="297" t="s">
        <v>1058</v>
      </c>
      <c r="D103" s="2415"/>
      <c r="E103" s="2223"/>
      <c r="F103" s="2358"/>
      <c r="G103" s="2386"/>
      <c r="H103" s="1410"/>
      <c r="I103" s="572" t="s">
        <v>1057</v>
      </c>
      <c r="J103" s="496"/>
      <c r="K103" s="1410"/>
      <c r="L103" s="135"/>
      <c r="M103" s="267"/>
      <c r="N103" s="260"/>
      <c r="O103" s="1536"/>
      <c r="P103" s="1536"/>
    </row>
    <row r="104" spans="1:16" s="1908" customFormat="1" ht="0.75" hidden="1" customHeight="1">
      <c r="A104" s="1690"/>
      <c r="B104" s="1690"/>
      <c r="C104" s="297" t="s">
        <v>1065</v>
      </c>
      <c r="D104" s="2415"/>
      <c r="E104" s="2223"/>
      <c r="F104" s="2358"/>
      <c r="G104" s="334"/>
      <c r="H104" s="1410"/>
      <c r="I104" s="572"/>
      <c r="J104" s="496"/>
      <c r="K104" s="1410"/>
      <c r="L104" s="135"/>
      <c r="M104" s="267"/>
      <c r="N104" s="260"/>
      <c r="O104" s="1536"/>
      <c r="P104" s="1536"/>
    </row>
    <row r="105" spans="1:16" s="1908" customFormat="1" ht="18.75" hidden="1" customHeight="1">
      <c r="A105" s="1690" t="s">
        <v>196</v>
      </c>
      <c r="B105" s="1690" t="s">
        <v>197</v>
      </c>
      <c r="C105" s="297"/>
      <c r="D105" s="2415"/>
      <c r="E105" s="2223"/>
      <c r="F105" s="2358" t="str">
        <f>INDEX(PT_DIFFERENTIATION_VTAR,MATCH(A105,PT_DIFFERENTIATION_VTAR_ID,0))</f>
        <v>Плата за подключение (технологическое присоединение) к системе теплоснабжения</v>
      </c>
      <c r="G105" s="2386" t="str">
        <f>INDEX(PT_DIFFERENTIATION_NTAR,MATCH(B105,PT_DIFFERENTIATION_NTAR_ID,0))</f>
        <v/>
      </c>
      <c r="H105" s="1772"/>
      <c r="I105" s="1648"/>
      <c r="J105" s="1683"/>
      <c r="K105" s="1688"/>
      <c r="L105" s="1772" t="s">
        <v>295</v>
      </c>
      <c r="M105" s="267"/>
      <c r="N105" s="260"/>
      <c r="O105" s="1536"/>
      <c r="P105" s="1536"/>
    </row>
    <row r="106" spans="1:16" s="1908" customFormat="1" ht="18.75" hidden="1" customHeight="1">
      <c r="A106" s="1690"/>
      <c r="B106" s="1690"/>
      <c r="C106" s="297" t="s">
        <v>1058</v>
      </c>
      <c r="D106" s="2415"/>
      <c r="E106" s="2223"/>
      <c r="F106" s="2358"/>
      <c r="G106" s="2386"/>
      <c r="H106" s="1410"/>
      <c r="I106" s="572" t="s">
        <v>1057</v>
      </c>
      <c r="J106" s="496"/>
      <c r="K106" s="1410"/>
      <c r="L106" s="135"/>
      <c r="M106" s="267"/>
      <c r="N106" s="260"/>
      <c r="O106" s="1536"/>
      <c r="P106" s="1536"/>
    </row>
    <row r="107" spans="1:16" s="1908" customFormat="1" ht="0.75" hidden="1" customHeight="1">
      <c r="A107" s="1690"/>
      <c r="B107" s="1690"/>
      <c r="C107" s="297" t="s">
        <v>1065</v>
      </c>
      <c r="D107" s="2415"/>
      <c r="E107" s="2223"/>
      <c r="F107" s="2358"/>
      <c r="G107" s="334"/>
      <c r="H107" s="1410"/>
      <c r="I107" s="572"/>
      <c r="J107" s="496"/>
      <c r="K107" s="1410"/>
      <c r="L107" s="135"/>
      <c r="M107" s="267"/>
      <c r="N107" s="260"/>
      <c r="O107" s="1536"/>
      <c r="P107" s="1536"/>
    </row>
    <row r="108" spans="1:16" s="1908" customFormat="1" ht="18.75" hidden="1" customHeight="1">
      <c r="A108" s="1690" t="s">
        <v>211</v>
      </c>
      <c r="B108" s="1690" t="s">
        <v>212</v>
      </c>
      <c r="C108" s="297"/>
      <c r="D108" s="2415"/>
      <c r="E108" s="2223"/>
      <c r="F108" s="2358" t="str">
        <f>INDEX(PT_DIFFERENTIATION_VTAR,MATCH(A108,PT_DIFFERENTIATION_VTAR_ID,0))</f>
        <v>Тариф на питьевую воду (питьевое водоснабжение)</v>
      </c>
      <c r="G108" s="2386" t="str">
        <f>INDEX(PT_DIFFERENTIATION_NTAR,MATCH(B108,PT_DIFFERENTIATION_NTAR_ID,0))</f>
        <v/>
      </c>
      <c r="H108" s="1772"/>
      <c r="I108" s="1648"/>
      <c r="J108" s="1683"/>
      <c r="K108" s="1688"/>
      <c r="L108" s="1772" t="s">
        <v>295</v>
      </c>
      <c r="M108" s="267"/>
      <c r="N108" s="260"/>
      <c r="O108" s="1536"/>
      <c r="P108" s="1536"/>
    </row>
    <row r="109" spans="1:16" s="1908" customFormat="1" ht="18.75" hidden="1" customHeight="1">
      <c r="A109" s="1690"/>
      <c r="B109" s="1690"/>
      <c r="C109" s="297" t="s">
        <v>1058</v>
      </c>
      <c r="D109" s="2415"/>
      <c r="E109" s="2223"/>
      <c r="F109" s="2358"/>
      <c r="G109" s="2386"/>
      <c r="H109" s="1410"/>
      <c r="I109" s="572" t="s">
        <v>1057</v>
      </c>
      <c r="J109" s="496"/>
      <c r="K109" s="1410"/>
      <c r="L109" s="135"/>
      <c r="M109" s="267"/>
      <c r="N109" s="260"/>
      <c r="O109" s="1536"/>
      <c r="P109" s="1536"/>
    </row>
    <row r="110" spans="1:16" s="1908" customFormat="1" ht="0.75" hidden="1" customHeight="1">
      <c r="A110" s="1690"/>
      <c r="B110" s="1690"/>
      <c r="C110" s="297" t="s">
        <v>1065</v>
      </c>
      <c r="D110" s="2415"/>
      <c r="E110" s="2223"/>
      <c r="F110" s="2358"/>
      <c r="G110" s="334"/>
      <c r="H110" s="1410"/>
      <c r="I110" s="572"/>
      <c r="J110" s="496"/>
      <c r="K110" s="1410"/>
      <c r="L110" s="135"/>
      <c r="M110" s="267"/>
      <c r="N110" s="260"/>
      <c r="O110" s="1536"/>
      <c r="P110" s="1536"/>
    </row>
    <row r="111" spans="1:16" s="1908" customFormat="1" ht="18.75" hidden="1" customHeight="1">
      <c r="A111" s="1690" t="s">
        <v>219</v>
      </c>
      <c r="B111" s="1690" t="s">
        <v>220</v>
      </c>
      <c r="C111" s="297"/>
      <c r="D111" s="2415"/>
      <c r="E111" s="2223"/>
      <c r="F111" s="2358" t="str">
        <f>INDEX(PT_DIFFERENTIATION_VTAR,MATCH(A111,PT_DIFFERENTIATION_VTAR_ID,0))</f>
        <v>Тариф на техническую воду</v>
      </c>
      <c r="G111" s="2386" t="str">
        <f>INDEX(PT_DIFFERENTIATION_NTAR,MATCH(B111,PT_DIFFERENTIATION_NTAR_ID,0))</f>
        <v/>
      </c>
      <c r="H111" s="1772"/>
      <c r="I111" s="1648"/>
      <c r="J111" s="1683"/>
      <c r="K111" s="1688"/>
      <c r="L111" s="1772" t="s">
        <v>295</v>
      </c>
      <c r="M111" s="267"/>
      <c r="N111" s="260"/>
      <c r="O111" s="1536"/>
      <c r="P111" s="1536"/>
    </row>
    <row r="112" spans="1:16" s="1908" customFormat="1" ht="18.75" hidden="1" customHeight="1">
      <c r="A112" s="1690"/>
      <c r="B112" s="1690"/>
      <c r="C112" s="297" t="s">
        <v>1058</v>
      </c>
      <c r="D112" s="2415"/>
      <c r="E112" s="2223"/>
      <c r="F112" s="2358"/>
      <c r="G112" s="2386"/>
      <c r="H112" s="1410"/>
      <c r="I112" s="572" t="s">
        <v>1057</v>
      </c>
      <c r="J112" s="496"/>
      <c r="K112" s="1410"/>
      <c r="L112" s="135"/>
      <c r="M112" s="267"/>
      <c r="N112" s="260"/>
      <c r="O112" s="1536"/>
      <c r="P112" s="1536"/>
    </row>
    <row r="113" spans="1:16" s="1908" customFormat="1" ht="0.75" hidden="1" customHeight="1">
      <c r="A113" s="1690"/>
      <c r="B113" s="1690"/>
      <c r="C113" s="297" t="s">
        <v>1065</v>
      </c>
      <c r="D113" s="2415"/>
      <c r="E113" s="2223"/>
      <c r="F113" s="2358"/>
      <c r="G113" s="334"/>
      <c r="H113" s="1410"/>
      <c r="I113" s="572"/>
      <c r="J113" s="496"/>
      <c r="K113" s="1410"/>
      <c r="L113" s="135"/>
      <c r="M113" s="267"/>
      <c r="N113" s="260"/>
      <c r="O113" s="1536"/>
      <c r="P113" s="1536"/>
    </row>
    <row r="114" spans="1:16" s="1908" customFormat="1" ht="18.75" hidden="1" customHeight="1">
      <c r="A114" s="1690" t="s">
        <v>224</v>
      </c>
      <c r="B114" s="1690" t="s">
        <v>225</v>
      </c>
      <c r="C114" s="297"/>
      <c r="D114" s="2415"/>
      <c r="E114" s="2223"/>
      <c r="F114" s="2358" t="str">
        <f>INDEX(PT_DIFFERENTIATION_VTAR,MATCH(A114,PT_DIFFERENTIATION_VTAR_ID,0))</f>
        <v>Тариф на транспортировку воды</v>
      </c>
      <c r="G114" s="2386" t="str">
        <f>INDEX(PT_DIFFERENTIATION_NTAR,MATCH(B114,PT_DIFFERENTIATION_NTAR_ID,0))</f>
        <v/>
      </c>
      <c r="H114" s="1772"/>
      <c r="I114" s="1648"/>
      <c r="J114" s="1683"/>
      <c r="K114" s="1688"/>
      <c r="L114" s="1772" t="s">
        <v>295</v>
      </c>
      <c r="M114" s="267"/>
      <c r="N114" s="260"/>
      <c r="O114" s="1536"/>
      <c r="P114" s="1536"/>
    </row>
    <row r="115" spans="1:16" s="1908" customFormat="1" ht="18.75" hidden="1" customHeight="1">
      <c r="A115" s="1690"/>
      <c r="B115" s="1690"/>
      <c r="C115" s="297" t="s">
        <v>1058</v>
      </c>
      <c r="D115" s="2415"/>
      <c r="E115" s="2223"/>
      <c r="F115" s="2358"/>
      <c r="G115" s="2386"/>
      <c r="H115" s="1410"/>
      <c r="I115" s="572" t="s">
        <v>1057</v>
      </c>
      <c r="J115" s="496"/>
      <c r="K115" s="1410"/>
      <c r="L115" s="135"/>
      <c r="M115" s="267"/>
      <c r="N115" s="260"/>
      <c r="O115" s="1536"/>
      <c r="P115" s="1536"/>
    </row>
    <row r="116" spans="1:16" s="1908" customFormat="1" ht="0.75" hidden="1" customHeight="1">
      <c r="A116" s="1690"/>
      <c r="B116" s="1690"/>
      <c r="C116" s="297" t="s">
        <v>1065</v>
      </c>
      <c r="D116" s="2415"/>
      <c r="E116" s="2223"/>
      <c r="F116" s="2358"/>
      <c r="G116" s="334"/>
      <c r="H116" s="1410"/>
      <c r="I116" s="572"/>
      <c r="J116" s="496"/>
      <c r="K116" s="1410"/>
      <c r="L116" s="135"/>
      <c r="M116" s="267"/>
      <c r="N116" s="260"/>
      <c r="O116" s="1536"/>
      <c r="P116" s="1536"/>
    </row>
    <row r="117" spans="1:16" s="1908" customFormat="1" ht="18.75" hidden="1" customHeight="1">
      <c r="A117" s="1690" t="s">
        <v>229</v>
      </c>
      <c r="B117" s="1690" t="s">
        <v>230</v>
      </c>
      <c r="C117" s="297"/>
      <c r="D117" s="2415"/>
      <c r="E117" s="2223"/>
      <c r="F117" s="2358" t="str">
        <f>INDEX(PT_DIFFERENTIATION_VTAR,MATCH(A117,PT_DIFFERENTIATION_VTAR_ID,0))</f>
        <v>Тариф на подвоз воды</v>
      </c>
      <c r="G117" s="2386" t="str">
        <f>INDEX(PT_DIFFERENTIATION_NTAR,MATCH(B117,PT_DIFFERENTIATION_NTAR_ID,0))</f>
        <v/>
      </c>
      <c r="H117" s="1772"/>
      <c r="I117" s="1648"/>
      <c r="J117" s="1683"/>
      <c r="K117" s="1688"/>
      <c r="L117" s="1772" t="s">
        <v>295</v>
      </c>
      <c r="M117" s="267"/>
      <c r="N117" s="260"/>
      <c r="O117" s="1536"/>
      <c r="P117" s="1536"/>
    </row>
    <row r="118" spans="1:16" s="1908" customFormat="1" ht="18.75" hidden="1" customHeight="1">
      <c r="A118" s="1690"/>
      <c r="B118" s="1690"/>
      <c r="C118" s="297" t="s">
        <v>1058</v>
      </c>
      <c r="D118" s="2415"/>
      <c r="E118" s="2223"/>
      <c r="F118" s="2358"/>
      <c r="G118" s="2386"/>
      <c r="H118" s="1410"/>
      <c r="I118" s="572" t="s">
        <v>1057</v>
      </c>
      <c r="J118" s="496"/>
      <c r="K118" s="1410"/>
      <c r="L118" s="135"/>
      <c r="M118" s="267"/>
      <c r="N118" s="260"/>
      <c r="O118" s="1536"/>
      <c r="P118" s="1536"/>
    </row>
    <row r="119" spans="1:16" s="1908" customFormat="1" ht="0.75" hidden="1" customHeight="1">
      <c r="A119" s="1690"/>
      <c r="B119" s="1690"/>
      <c r="C119" s="297" t="s">
        <v>1065</v>
      </c>
      <c r="D119" s="2415"/>
      <c r="E119" s="2223"/>
      <c r="F119" s="2358"/>
      <c r="G119" s="334"/>
      <c r="H119" s="1410"/>
      <c r="I119" s="572"/>
      <c r="J119" s="496"/>
      <c r="K119" s="1410"/>
      <c r="L119" s="135"/>
      <c r="M119" s="267"/>
      <c r="N119" s="260"/>
      <c r="O119" s="1536"/>
      <c r="P119" s="1536"/>
    </row>
    <row r="120" spans="1:16" s="1908" customFormat="1" ht="18.75" hidden="1" customHeight="1">
      <c r="A120" s="1690" t="s">
        <v>234</v>
      </c>
      <c r="B120" s="1690" t="s">
        <v>235</v>
      </c>
      <c r="C120" s="297"/>
      <c r="D120" s="2415"/>
      <c r="E120" s="2223"/>
      <c r="F120" s="2358"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386" t="str">
        <f>INDEX(PT_DIFFERENTIATION_NTAR,MATCH(B120,PT_DIFFERENTIATION_NTAR_ID,0))</f>
        <v/>
      </c>
      <c r="H120" s="1772"/>
      <c r="I120" s="1648"/>
      <c r="J120" s="1683"/>
      <c r="K120" s="1688"/>
      <c r="L120" s="1772" t="s">
        <v>295</v>
      </c>
      <c r="M120" s="267"/>
      <c r="N120" s="260"/>
      <c r="O120" s="1536"/>
      <c r="P120" s="1536"/>
    </row>
    <row r="121" spans="1:16" s="1908" customFormat="1" ht="18.75" hidden="1" customHeight="1">
      <c r="A121" s="1690"/>
      <c r="B121" s="1690"/>
      <c r="C121" s="297" t="s">
        <v>1058</v>
      </c>
      <c r="D121" s="2415"/>
      <c r="E121" s="2223"/>
      <c r="F121" s="2358"/>
      <c r="G121" s="2386"/>
      <c r="H121" s="1410"/>
      <c r="I121" s="572" t="s">
        <v>1057</v>
      </c>
      <c r="J121" s="496"/>
      <c r="K121" s="1410"/>
      <c r="L121" s="135"/>
      <c r="M121" s="267"/>
      <c r="N121" s="260"/>
      <c r="O121" s="1536"/>
      <c r="P121" s="1536"/>
    </row>
    <row r="122" spans="1:16" s="1908" customFormat="1" ht="0.75" hidden="1" customHeight="1">
      <c r="A122" s="1690"/>
      <c r="B122" s="1690"/>
      <c r="C122" s="297" t="s">
        <v>1065</v>
      </c>
      <c r="D122" s="2415"/>
      <c r="E122" s="2223"/>
      <c r="F122" s="2358"/>
      <c r="G122" s="334"/>
      <c r="H122" s="1410"/>
      <c r="I122" s="572"/>
      <c r="J122" s="496"/>
      <c r="K122" s="1410"/>
      <c r="L122" s="135"/>
      <c r="M122" s="267"/>
      <c r="N122" s="260"/>
      <c r="O122" s="1536"/>
      <c r="P122" s="1536"/>
    </row>
    <row r="123" spans="1:16" s="1908" customFormat="1" ht="18.75" hidden="1" customHeight="1">
      <c r="A123" s="1690" t="s">
        <v>239</v>
      </c>
      <c r="B123" s="1690" t="s">
        <v>240</v>
      </c>
      <c r="C123" s="297"/>
      <c r="D123" s="2415"/>
      <c r="E123" s="2223"/>
      <c r="F123" s="2358" t="str">
        <f>INDEX(PT_DIFFERENTIATION_VTAR,MATCH(A123,PT_DIFFERENTIATION_VTAR_ID,0))</f>
        <v>Тариф на горячую воду (горячее водоснабжение)</v>
      </c>
      <c r="G123" s="2386" t="str">
        <f>INDEX(PT_DIFFERENTIATION_NTAR,MATCH(B123,PT_DIFFERENTIATION_NTAR_ID,0))</f>
        <v/>
      </c>
      <c r="H123" s="1772"/>
      <c r="I123" s="1648"/>
      <c r="J123" s="1683"/>
      <c r="K123" s="1688"/>
      <c r="L123" s="1772" t="s">
        <v>295</v>
      </c>
      <c r="M123" s="267"/>
      <c r="N123" s="260"/>
      <c r="O123" s="1536"/>
      <c r="P123" s="1536"/>
    </row>
    <row r="124" spans="1:16" s="1908" customFormat="1" ht="18.75" hidden="1" customHeight="1">
      <c r="A124" s="1690"/>
      <c r="B124" s="1690"/>
      <c r="C124" s="297" t="s">
        <v>1058</v>
      </c>
      <c r="D124" s="2415"/>
      <c r="E124" s="2223"/>
      <c r="F124" s="2358"/>
      <c r="G124" s="2386"/>
      <c r="H124" s="1410"/>
      <c r="I124" s="572" t="s">
        <v>1057</v>
      </c>
      <c r="J124" s="496"/>
      <c r="K124" s="1410"/>
      <c r="L124" s="135"/>
      <c r="M124" s="267"/>
      <c r="N124" s="260"/>
      <c r="O124" s="1536"/>
      <c r="P124" s="1536"/>
    </row>
    <row r="125" spans="1:16" s="1908" customFormat="1" ht="0.75" hidden="1" customHeight="1">
      <c r="A125" s="1690"/>
      <c r="B125" s="1690"/>
      <c r="C125" s="297" t="s">
        <v>1065</v>
      </c>
      <c r="D125" s="2415"/>
      <c r="E125" s="2223"/>
      <c r="F125" s="2358"/>
      <c r="G125" s="334"/>
      <c r="H125" s="1410"/>
      <c r="I125" s="572"/>
      <c r="J125" s="496"/>
      <c r="K125" s="1410"/>
      <c r="L125" s="135"/>
      <c r="M125" s="267"/>
      <c r="N125" s="260"/>
      <c r="O125" s="1536"/>
      <c r="P125" s="1536"/>
    </row>
    <row r="126" spans="1:16" s="1908" customFormat="1" ht="18.75" hidden="1" customHeight="1">
      <c r="A126" s="1690" t="s">
        <v>244</v>
      </c>
      <c r="B126" s="1690" t="s">
        <v>245</v>
      </c>
      <c r="C126" s="297"/>
      <c r="D126" s="2415"/>
      <c r="E126" s="2223"/>
      <c r="F126" s="2358" t="str">
        <f>INDEX(PT_DIFFERENTIATION_VTAR,MATCH(A126,PT_DIFFERENTIATION_VTAR_ID,0))</f>
        <v>Тариф на транспортировку горячей воды</v>
      </c>
      <c r="G126" s="2386" t="str">
        <f>INDEX(PT_DIFFERENTIATION_NTAR,MATCH(B126,PT_DIFFERENTIATION_NTAR_ID,0))</f>
        <v/>
      </c>
      <c r="H126" s="1772"/>
      <c r="I126" s="1648"/>
      <c r="J126" s="1683"/>
      <c r="K126" s="1688"/>
      <c r="L126" s="1772" t="s">
        <v>295</v>
      </c>
      <c r="M126" s="267"/>
      <c r="N126" s="260"/>
      <c r="O126" s="1536"/>
      <c r="P126" s="1536"/>
    </row>
    <row r="127" spans="1:16" s="1908" customFormat="1" ht="18.75" hidden="1" customHeight="1">
      <c r="A127" s="1690"/>
      <c r="B127" s="1690"/>
      <c r="C127" s="297" t="s">
        <v>1058</v>
      </c>
      <c r="D127" s="2415"/>
      <c r="E127" s="2223"/>
      <c r="F127" s="2358"/>
      <c r="G127" s="2386"/>
      <c r="H127" s="1410"/>
      <c r="I127" s="572" t="s">
        <v>1057</v>
      </c>
      <c r="J127" s="496"/>
      <c r="K127" s="1410"/>
      <c r="L127" s="135"/>
      <c r="M127" s="267"/>
      <c r="N127" s="260"/>
      <c r="O127" s="1536"/>
      <c r="P127" s="1536"/>
    </row>
    <row r="128" spans="1:16" s="1908" customFormat="1" ht="0.75" hidden="1" customHeight="1">
      <c r="A128" s="1690"/>
      <c r="B128" s="1690"/>
      <c r="C128" s="297" t="s">
        <v>1065</v>
      </c>
      <c r="D128" s="2415"/>
      <c r="E128" s="2223"/>
      <c r="F128" s="2358"/>
      <c r="G128" s="334"/>
      <c r="H128" s="1410"/>
      <c r="I128" s="572"/>
      <c r="J128" s="496"/>
      <c r="K128" s="1410"/>
      <c r="L128" s="135"/>
      <c r="M128" s="267"/>
      <c r="N128" s="260"/>
      <c r="O128" s="1536"/>
      <c r="P128" s="1536"/>
    </row>
    <row r="129" spans="1:16" s="1908" customFormat="1" ht="18.75" hidden="1" customHeight="1">
      <c r="A129" s="1690" t="s">
        <v>249</v>
      </c>
      <c r="B129" s="1690" t="s">
        <v>250</v>
      </c>
      <c r="C129" s="297"/>
      <c r="D129" s="2415"/>
      <c r="E129" s="2223"/>
      <c r="F129" s="2358" t="str">
        <f>INDEX(PT_DIFFERENTIATION_VTAR,MATCH(A129,PT_DIFFERENTIATION_VTAR_ID,0))</f>
        <v>Тариф на подключение (технологическое присоединение) к централизованной системе горячего водоснабжения</v>
      </c>
      <c r="G129" s="2386" t="str">
        <f>INDEX(PT_DIFFERENTIATION_NTAR,MATCH(B129,PT_DIFFERENTIATION_NTAR_ID,0))</f>
        <v/>
      </c>
      <c r="H129" s="1772"/>
      <c r="I129" s="1648"/>
      <c r="J129" s="1683"/>
      <c r="K129" s="1688"/>
      <c r="L129" s="1772" t="s">
        <v>295</v>
      </c>
      <c r="M129" s="267"/>
      <c r="N129" s="260"/>
      <c r="O129" s="1536"/>
      <c r="P129" s="1536"/>
    </row>
    <row r="130" spans="1:16" s="1908" customFormat="1" ht="18.75" hidden="1" customHeight="1">
      <c r="A130" s="1690"/>
      <c r="B130" s="1690"/>
      <c r="C130" s="297" t="s">
        <v>1058</v>
      </c>
      <c r="D130" s="2415"/>
      <c r="E130" s="2223"/>
      <c r="F130" s="2358"/>
      <c r="G130" s="2386"/>
      <c r="H130" s="1410"/>
      <c r="I130" s="572" t="s">
        <v>1057</v>
      </c>
      <c r="J130" s="496"/>
      <c r="K130" s="1410"/>
      <c r="L130" s="135"/>
      <c r="M130" s="267"/>
      <c r="N130" s="260"/>
      <c r="O130" s="1536"/>
      <c r="P130" s="1536"/>
    </row>
    <row r="131" spans="1:16" s="1908" customFormat="1" ht="0.75" hidden="1" customHeight="1">
      <c r="A131" s="1690"/>
      <c r="B131" s="1690"/>
      <c r="C131" s="297" t="s">
        <v>1065</v>
      </c>
      <c r="D131" s="2415"/>
      <c r="E131" s="2223"/>
      <c r="F131" s="2358"/>
      <c r="G131" s="334"/>
      <c r="H131" s="1410"/>
      <c r="I131" s="572"/>
      <c r="J131" s="496"/>
      <c r="K131" s="1410"/>
      <c r="L131" s="135"/>
      <c r="M131" s="267"/>
      <c r="N131" s="260"/>
      <c r="O131" s="1536"/>
      <c r="P131" s="1536"/>
    </row>
    <row r="132" spans="1:16" s="1908" customFormat="1" ht="18.75" hidden="1" customHeight="1">
      <c r="A132" s="1690" t="s">
        <v>254</v>
      </c>
      <c r="B132" s="1690" t="s">
        <v>255</v>
      </c>
      <c r="C132" s="297"/>
      <c r="D132" s="2415"/>
      <c r="E132" s="2223"/>
      <c r="F132" s="2358" t="str">
        <f>INDEX(PT_DIFFERENTIATION_VTAR,MATCH(A132,PT_DIFFERENTIATION_VTAR_ID,0))</f>
        <v>Тариф на водоотведение</v>
      </c>
      <c r="G132" s="2386" t="str">
        <f>INDEX(PT_DIFFERENTIATION_NTAR,MATCH(B132,PT_DIFFERENTIATION_NTAR_ID,0))</f>
        <v/>
      </c>
      <c r="H132" s="1772"/>
      <c r="I132" s="1648"/>
      <c r="J132" s="1683"/>
      <c r="K132" s="1688"/>
      <c r="L132" s="1772" t="s">
        <v>295</v>
      </c>
      <c r="M132" s="267"/>
      <c r="N132" s="260"/>
      <c r="O132" s="1536"/>
      <c r="P132" s="1536"/>
    </row>
    <row r="133" spans="1:16" s="1908" customFormat="1" ht="18.75" hidden="1" customHeight="1">
      <c r="A133" s="1690"/>
      <c r="B133" s="1690"/>
      <c r="C133" s="297" t="s">
        <v>1058</v>
      </c>
      <c r="D133" s="2415"/>
      <c r="E133" s="2223"/>
      <c r="F133" s="2358"/>
      <c r="G133" s="2386"/>
      <c r="H133" s="1410"/>
      <c r="I133" s="572" t="s">
        <v>1057</v>
      </c>
      <c r="J133" s="496"/>
      <c r="K133" s="1410"/>
      <c r="L133" s="135"/>
      <c r="M133" s="267"/>
      <c r="N133" s="260"/>
      <c r="O133" s="1536"/>
      <c r="P133" s="1536"/>
    </row>
    <row r="134" spans="1:16" s="1908" customFormat="1" ht="0.75" hidden="1" customHeight="1">
      <c r="A134" s="1690"/>
      <c r="B134" s="1690"/>
      <c r="C134" s="297" t="s">
        <v>1065</v>
      </c>
      <c r="D134" s="2415"/>
      <c r="E134" s="2223"/>
      <c r="F134" s="2358"/>
      <c r="G134" s="334"/>
      <c r="H134" s="1410"/>
      <c r="I134" s="572"/>
      <c r="J134" s="496"/>
      <c r="K134" s="1410"/>
      <c r="L134" s="135"/>
      <c r="M134" s="267"/>
      <c r="N134" s="260"/>
      <c r="O134" s="1536"/>
      <c r="P134" s="1536"/>
    </row>
    <row r="135" spans="1:16" s="1908" customFormat="1" ht="18.75" hidden="1" customHeight="1">
      <c r="A135" s="1690" t="s">
        <v>259</v>
      </c>
      <c r="B135" s="1690" t="s">
        <v>260</v>
      </c>
      <c r="C135" s="297"/>
      <c r="D135" s="2415"/>
      <c r="E135" s="2223"/>
      <c r="F135" s="2358" t="str">
        <f>INDEX(PT_DIFFERENTIATION_VTAR,MATCH(A135,PT_DIFFERENTIATION_VTAR_ID,0))</f>
        <v>Тариф на транспортировку сточных вод</v>
      </c>
      <c r="G135" s="2386" t="str">
        <f>INDEX(PT_DIFFERENTIATION_NTAR,MATCH(B135,PT_DIFFERENTIATION_NTAR_ID,0))</f>
        <v/>
      </c>
      <c r="H135" s="1772"/>
      <c r="I135" s="1648"/>
      <c r="J135" s="1683"/>
      <c r="K135" s="1688"/>
      <c r="L135" s="1772" t="s">
        <v>295</v>
      </c>
      <c r="M135" s="267"/>
      <c r="N135" s="260"/>
      <c r="O135" s="1536"/>
      <c r="P135" s="1536"/>
    </row>
    <row r="136" spans="1:16" s="1908" customFormat="1" ht="18.75" hidden="1" customHeight="1">
      <c r="A136" s="1690"/>
      <c r="B136" s="1690"/>
      <c r="C136" s="297" t="s">
        <v>1058</v>
      </c>
      <c r="D136" s="2415"/>
      <c r="E136" s="2223"/>
      <c r="F136" s="2358"/>
      <c r="G136" s="2386"/>
      <c r="H136" s="1410"/>
      <c r="I136" s="572" t="s">
        <v>1057</v>
      </c>
      <c r="J136" s="496"/>
      <c r="K136" s="1410"/>
      <c r="L136" s="135"/>
      <c r="M136" s="267"/>
      <c r="N136" s="260"/>
      <c r="O136" s="1536"/>
      <c r="P136" s="1536"/>
    </row>
    <row r="137" spans="1:16" s="1908" customFormat="1" ht="0.75" hidden="1" customHeight="1">
      <c r="A137" s="1690"/>
      <c r="B137" s="1690"/>
      <c r="C137" s="297" t="s">
        <v>1065</v>
      </c>
      <c r="D137" s="2415"/>
      <c r="E137" s="2223"/>
      <c r="F137" s="2358"/>
      <c r="G137" s="334"/>
      <c r="H137" s="1410"/>
      <c r="I137" s="572"/>
      <c r="J137" s="496"/>
      <c r="K137" s="1410"/>
      <c r="L137" s="135"/>
      <c r="M137" s="267"/>
      <c r="N137" s="260"/>
      <c r="O137" s="1536"/>
      <c r="P137" s="1536"/>
    </row>
    <row r="138" spans="1:16" s="1908" customFormat="1" ht="18.75" hidden="1" customHeight="1">
      <c r="A138" s="1690" t="s">
        <v>264</v>
      </c>
      <c r="B138" s="1690" t="s">
        <v>265</v>
      </c>
      <c r="C138" s="297"/>
      <c r="D138" s="2415"/>
      <c r="E138" s="2223"/>
      <c r="F138" s="2358" t="str">
        <f>INDEX(PT_DIFFERENTIATION_VTAR,MATCH(A138,PT_DIFFERENTIATION_VTAR_ID,0))</f>
        <v>Тариф на подключение (технологическое присоединение) к централизованной системе водоотведения</v>
      </c>
      <c r="G138" s="2386" t="str">
        <f>INDEX(PT_DIFFERENTIATION_NTAR,MATCH(B138,PT_DIFFERENTIATION_NTAR_ID,0))</f>
        <v/>
      </c>
      <c r="H138" s="1772"/>
      <c r="I138" s="1648"/>
      <c r="J138" s="1683"/>
      <c r="K138" s="1688"/>
      <c r="L138" s="1772" t="s">
        <v>295</v>
      </c>
      <c r="M138" s="267"/>
      <c r="N138" s="260"/>
      <c r="O138" s="1536"/>
      <c r="P138" s="1536"/>
    </row>
    <row r="139" spans="1:16" s="1908" customFormat="1" ht="18.75" hidden="1" customHeight="1">
      <c r="A139" s="1690"/>
      <c r="B139" s="1690"/>
      <c r="C139" s="297" t="s">
        <v>1058</v>
      </c>
      <c r="D139" s="2415"/>
      <c r="E139" s="2223"/>
      <c r="F139" s="2358"/>
      <c r="G139" s="2386"/>
      <c r="H139" s="1410"/>
      <c r="I139" s="572" t="s">
        <v>1057</v>
      </c>
      <c r="J139" s="496"/>
      <c r="K139" s="1410"/>
      <c r="L139" s="135"/>
      <c r="M139" s="267"/>
      <c r="N139" s="260"/>
      <c r="O139" s="1536"/>
      <c r="P139" s="1536"/>
    </row>
    <row r="140" spans="1:16" s="1908" customFormat="1" ht="0.75" customHeight="1">
      <c r="A140" s="1690"/>
      <c r="B140" s="1690"/>
      <c r="C140" s="297" t="s">
        <v>1065</v>
      </c>
      <c r="D140" s="2415"/>
      <c r="E140" s="2223"/>
      <c r="F140" s="2358"/>
      <c r="G140" s="334"/>
      <c r="H140" s="1410"/>
      <c r="I140" s="572"/>
      <c r="J140" s="496"/>
      <c r="K140" s="1410"/>
      <c r="L140" s="135"/>
      <c r="M140" s="267"/>
      <c r="N140" s="260"/>
      <c r="O140" s="1536"/>
      <c r="P140" s="1536"/>
    </row>
    <row r="141" spans="1:16" ht="18.75" customHeight="1">
      <c r="A141" s="1690"/>
      <c r="B141" s="1690"/>
      <c r="D141" s="305"/>
      <c r="E141" s="71" t="s">
        <v>90</v>
      </c>
      <c r="F141" s="241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1" s="2414"/>
      <c r="H141" s="2414"/>
      <c r="I141" s="2414"/>
      <c r="J141" s="2414"/>
      <c r="K141" s="2414"/>
      <c r="L141" s="2414"/>
      <c r="M141" s="215"/>
      <c r="N141" s="260"/>
    </row>
    <row r="142" spans="1:16" s="1908" customFormat="1" ht="60.75" hidden="1" customHeight="1">
      <c r="A142" s="1690" t="s">
        <v>154</v>
      </c>
      <c r="B142" s="1690" t="s">
        <v>155</v>
      </c>
      <c r="C142" s="297"/>
      <c r="D142" s="2415"/>
      <c r="E142" s="2223"/>
      <c r="F142" s="2358"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86" t="str">
        <f>INDEX(PT_DIFFERENTIATION_NTAR,MATCH(B142,PT_DIFFERENTIATION_NTAR_ID,0))</f>
        <v/>
      </c>
      <c r="H142" s="1772"/>
      <c r="I142" s="1648"/>
      <c r="J142" s="1683"/>
      <c r="K142" s="1688"/>
      <c r="L142" s="1772" t="s">
        <v>295</v>
      </c>
      <c r="M142"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260"/>
      <c r="O142" s="1536"/>
      <c r="P142" s="1536"/>
    </row>
    <row r="143" spans="1:16" s="1908" customFormat="1" ht="18.75" hidden="1" customHeight="1">
      <c r="A143" s="1690"/>
      <c r="B143" s="1690"/>
      <c r="C143" s="297" t="s">
        <v>1058</v>
      </c>
      <c r="D143" s="2415"/>
      <c r="E143" s="2223"/>
      <c r="F143" s="2358"/>
      <c r="G143" s="2386"/>
      <c r="H143" s="1410"/>
      <c r="I143" s="572" t="s">
        <v>1057</v>
      </c>
      <c r="J143" s="496"/>
      <c r="K143" s="1410"/>
      <c r="L143" s="135"/>
      <c r="M143" s="2186"/>
      <c r="N143" s="260"/>
      <c r="O143" s="1536"/>
      <c r="P143" s="1536"/>
    </row>
    <row r="144" spans="1:16" s="1908" customFormat="1" ht="0.75" hidden="1" customHeight="1">
      <c r="A144" s="1690"/>
      <c r="B144" s="1690"/>
      <c r="C144" s="297" t="s">
        <v>1065</v>
      </c>
      <c r="D144" s="2415"/>
      <c r="E144" s="2223"/>
      <c r="F144" s="2358"/>
      <c r="G144" s="334"/>
      <c r="H144" s="1410"/>
      <c r="I144" s="572"/>
      <c r="J144" s="496"/>
      <c r="K144" s="1410"/>
      <c r="L144" s="135"/>
      <c r="M144" s="2186"/>
      <c r="N144" s="260"/>
      <c r="O144" s="1536"/>
      <c r="P144" s="1536"/>
    </row>
    <row r="145" spans="1:16" s="1908" customFormat="1" ht="45" hidden="1" customHeight="1">
      <c r="A145" s="1690" t="s">
        <v>160</v>
      </c>
      <c r="B145" s="1690" t="s">
        <v>161</v>
      </c>
      <c r="C145" s="297"/>
      <c r="D145" s="2415"/>
      <c r="E145" s="2223"/>
      <c r="F145" s="2358"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86" t="str">
        <f>INDEX(PT_DIFFERENTIATION_NTAR,MATCH(B145,PT_DIFFERENTIATION_NTAR_ID,0))</f>
        <v/>
      </c>
      <c r="H145" s="1772"/>
      <c r="I145" s="1648"/>
      <c r="J145" s="1683"/>
      <c r="K145" s="1688"/>
      <c r="L145" s="1772" t="s">
        <v>295</v>
      </c>
      <c r="M145" s="2187"/>
      <c r="N145" s="260"/>
      <c r="O145" s="1536"/>
      <c r="P145" s="1536"/>
    </row>
    <row r="146" spans="1:16" s="1908" customFormat="1" ht="18.75" hidden="1" customHeight="1">
      <c r="A146" s="1690"/>
      <c r="B146" s="1690"/>
      <c r="C146" s="297" t="s">
        <v>1058</v>
      </c>
      <c r="D146" s="2415"/>
      <c r="E146" s="2223"/>
      <c r="F146" s="2358"/>
      <c r="G146" s="2386"/>
      <c r="H146" s="1410"/>
      <c r="I146" s="572" t="s">
        <v>1057</v>
      </c>
      <c r="J146" s="496"/>
      <c r="K146" s="1410"/>
      <c r="L146" s="135"/>
      <c r="M146" s="1771"/>
      <c r="N146" s="260"/>
      <c r="O146" s="1536"/>
      <c r="P146" s="1536"/>
    </row>
    <row r="147" spans="1:16" s="1908" customFormat="1" ht="0.75" hidden="1" customHeight="1">
      <c r="A147" s="1690"/>
      <c r="B147" s="1690"/>
      <c r="C147" s="297" t="s">
        <v>1065</v>
      </c>
      <c r="D147" s="2415"/>
      <c r="E147" s="2223"/>
      <c r="F147" s="2358"/>
      <c r="G147" s="334"/>
      <c r="H147" s="1410"/>
      <c r="I147" s="572"/>
      <c r="J147" s="496"/>
      <c r="K147" s="1410"/>
      <c r="L147" s="135"/>
      <c r="M147" s="267"/>
      <c r="N147" s="260"/>
      <c r="O147" s="1536"/>
      <c r="P147" s="1536"/>
    </row>
    <row r="148" spans="1:16" s="1908" customFormat="1" ht="45" hidden="1" customHeight="1">
      <c r="A148" s="1690" t="s">
        <v>166</v>
      </c>
      <c r="B148" s="1690" t="s">
        <v>167</v>
      </c>
      <c r="C148" s="297"/>
      <c r="D148" s="2415"/>
      <c r="E148" s="2223"/>
      <c r="F148" s="2358"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86" t="str">
        <f>INDEX(PT_DIFFERENTIATION_NTAR,MATCH(B148,PT_DIFFERENTIATION_NTAR_ID,0))</f>
        <v/>
      </c>
      <c r="H148" s="1772"/>
      <c r="I148" s="1648"/>
      <c r="J148" s="1683"/>
      <c r="K148" s="1688"/>
      <c r="L148" s="1772" t="s">
        <v>295</v>
      </c>
      <c r="M148" s="267"/>
      <c r="N148" s="260"/>
      <c r="O148" s="1536"/>
      <c r="P148" s="1536"/>
    </row>
    <row r="149" spans="1:16" s="1908" customFormat="1" ht="18.75" hidden="1" customHeight="1">
      <c r="A149" s="1690"/>
      <c r="B149" s="1690"/>
      <c r="C149" s="297" t="s">
        <v>1058</v>
      </c>
      <c r="D149" s="2415"/>
      <c r="E149" s="2223"/>
      <c r="F149" s="2358"/>
      <c r="G149" s="2386"/>
      <c r="H149" s="1410"/>
      <c r="I149" s="572" t="s">
        <v>1057</v>
      </c>
      <c r="J149" s="496"/>
      <c r="K149" s="1410"/>
      <c r="L149" s="135"/>
      <c r="M149" s="267"/>
      <c r="N149" s="260"/>
      <c r="O149" s="1536"/>
      <c r="P149" s="1536"/>
    </row>
    <row r="150" spans="1:16" s="1908" customFormat="1" ht="0.75" hidden="1" customHeight="1">
      <c r="A150" s="1690"/>
      <c r="B150" s="1690"/>
      <c r="C150" s="297" t="s">
        <v>1065</v>
      </c>
      <c r="D150" s="2415"/>
      <c r="E150" s="2223"/>
      <c r="F150" s="2358"/>
      <c r="G150" s="334"/>
      <c r="H150" s="1410"/>
      <c r="I150" s="572"/>
      <c r="J150" s="496"/>
      <c r="K150" s="1410"/>
      <c r="L150" s="135"/>
      <c r="M150" s="267"/>
      <c r="N150" s="260"/>
      <c r="O150" s="1536"/>
      <c r="P150" s="1536"/>
    </row>
    <row r="151" spans="1:16" s="1908" customFormat="1" ht="45" hidden="1" customHeight="1">
      <c r="A151" s="1690" t="s">
        <v>172</v>
      </c>
      <c r="B151" s="1690" t="s">
        <v>173</v>
      </c>
      <c r="C151" s="297"/>
      <c r="D151" s="2415"/>
      <c r="E151" s="2223"/>
      <c r="F151" s="2358"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86" t="str">
        <f>INDEX(PT_DIFFERENTIATION_NTAR,MATCH(B151,PT_DIFFERENTIATION_NTAR_ID,0))</f>
        <v/>
      </c>
      <c r="H151" s="1772"/>
      <c r="I151" s="1648"/>
      <c r="J151" s="1683"/>
      <c r="K151" s="1688"/>
      <c r="L151" s="1772" t="s">
        <v>295</v>
      </c>
      <c r="M151" s="267"/>
      <c r="N151" s="260"/>
      <c r="O151" s="1536"/>
      <c r="P151" s="1536"/>
    </row>
    <row r="152" spans="1:16" s="1908" customFormat="1" ht="18.75" hidden="1" customHeight="1">
      <c r="A152" s="1690"/>
      <c r="B152" s="1690"/>
      <c r="C152" s="297" t="s">
        <v>1058</v>
      </c>
      <c r="D152" s="2415"/>
      <c r="E152" s="2223"/>
      <c r="F152" s="2358"/>
      <c r="G152" s="2386"/>
      <c r="H152" s="1410"/>
      <c r="I152" s="572" t="s">
        <v>1057</v>
      </c>
      <c r="J152" s="496"/>
      <c r="K152" s="1410"/>
      <c r="L152" s="135"/>
      <c r="M152" s="267"/>
      <c r="N152" s="260"/>
      <c r="O152" s="1536"/>
      <c r="P152" s="1536"/>
    </row>
    <row r="153" spans="1:16" s="1908" customFormat="1" ht="0.75" hidden="1" customHeight="1">
      <c r="A153" s="1690"/>
      <c r="B153" s="1690"/>
      <c r="C153" s="297" t="s">
        <v>1065</v>
      </c>
      <c r="D153" s="2415"/>
      <c r="E153" s="2223"/>
      <c r="F153" s="2358"/>
      <c r="G153" s="334"/>
      <c r="H153" s="1410"/>
      <c r="I153" s="572"/>
      <c r="J153" s="496"/>
      <c r="K153" s="1410"/>
      <c r="L153" s="135"/>
      <c r="M153" s="267"/>
      <c r="N153" s="260"/>
      <c r="O153" s="1536"/>
      <c r="P153" s="1536"/>
    </row>
    <row r="154" spans="1:16" s="1908" customFormat="1" ht="18.75" hidden="1" customHeight="1">
      <c r="A154" s="1690" t="s">
        <v>178</v>
      </c>
      <c r="B154" s="1690" t="s">
        <v>179</v>
      </c>
      <c r="C154" s="297"/>
      <c r="D154" s="2415"/>
      <c r="E154" s="2223"/>
      <c r="F154" s="2358" t="str">
        <f>INDEX(PT_DIFFERENTIATION_VTAR,MATCH(A154,PT_DIFFERENTIATION_VTAR_ID,0))</f>
        <v>Тарифы на услуги по передаче тепловой энергии</v>
      </c>
      <c r="G154" s="2386" t="str">
        <f>INDEX(PT_DIFFERENTIATION_NTAR,MATCH(B154,PT_DIFFERENTIATION_NTAR_ID,0))</f>
        <v/>
      </c>
      <c r="H154" s="1772"/>
      <c r="I154" s="1648"/>
      <c r="J154" s="1683"/>
      <c r="K154" s="1688"/>
      <c r="L154" s="1772" t="s">
        <v>295</v>
      </c>
      <c r="M154" s="267"/>
      <c r="N154" s="260"/>
      <c r="O154" s="1536"/>
      <c r="P154" s="1536"/>
    </row>
    <row r="155" spans="1:16" s="1908" customFormat="1" ht="18.75" hidden="1" customHeight="1">
      <c r="A155" s="1690"/>
      <c r="B155" s="1690"/>
      <c r="C155" s="297" t="s">
        <v>1058</v>
      </c>
      <c r="D155" s="2415"/>
      <c r="E155" s="2223"/>
      <c r="F155" s="2358"/>
      <c r="G155" s="2386"/>
      <c r="H155" s="1410"/>
      <c r="I155" s="572" t="s">
        <v>1057</v>
      </c>
      <c r="J155" s="496"/>
      <c r="K155" s="1410"/>
      <c r="L155" s="135"/>
      <c r="M155" s="267"/>
      <c r="N155" s="260"/>
      <c r="O155" s="1536"/>
      <c r="P155" s="1536"/>
    </row>
    <row r="156" spans="1:16" s="1908" customFormat="1" ht="0.75" hidden="1" customHeight="1">
      <c r="A156" s="1690"/>
      <c r="B156" s="1690"/>
      <c r="C156" s="297" t="s">
        <v>1065</v>
      </c>
      <c r="D156" s="2415"/>
      <c r="E156" s="2223"/>
      <c r="F156" s="2358"/>
      <c r="G156" s="334"/>
      <c r="H156" s="1410"/>
      <c r="I156" s="572"/>
      <c r="J156" s="496"/>
      <c r="K156" s="1410"/>
      <c r="L156" s="135"/>
      <c r="M156" s="267"/>
      <c r="N156" s="260"/>
      <c r="O156" s="1536"/>
      <c r="P156" s="1536"/>
    </row>
    <row r="157" spans="1:16" s="1908" customFormat="1" ht="18.75" hidden="1" customHeight="1">
      <c r="A157" s="1690" t="s">
        <v>184</v>
      </c>
      <c r="B157" s="1690" t="s">
        <v>185</v>
      </c>
      <c r="C157" s="297"/>
      <c r="D157" s="2415"/>
      <c r="E157" s="2223"/>
      <c r="F157" s="2358" t="str">
        <f>INDEX(PT_DIFFERENTIATION_VTAR,MATCH(A157,PT_DIFFERENTIATION_VTAR_ID,0))</f>
        <v>Тарифы на услуги по передаче теплоносителя</v>
      </c>
      <c r="G157" s="2386" t="str">
        <f>INDEX(PT_DIFFERENTIATION_NTAR,MATCH(B157,PT_DIFFERENTIATION_NTAR_ID,0))</f>
        <v/>
      </c>
      <c r="H157" s="1772"/>
      <c r="I157" s="1648"/>
      <c r="J157" s="1683"/>
      <c r="K157" s="1688"/>
      <c r="L157" s="1772" t="s">
        <v>295</v>
      </c>
      <c r="M157" s="267"/>
      <c r="N157" s="260"/>
      <c r="O157" s="1536"/>
      <c r="P157" s="1536"/>
    </row>
    <row r="158" spans="1:16" s="1908" customFormat="1" ht="18.75" hidden="1" customHeight="1">
      <c r="A158" s="1690"/>
      <c r="B158" s="1690"/>
      <c r="C158" s="297" t="s">
        <v>1058</v>
      </c>
      <c r="D158" s="2415"/>
      <c r="E158" s="2223"/>
      <c r="F158" s="2358"/>
      <c r="G158" s="2386"/>
      <c r="H158" s="1410"/>
      <c r="I158" s="572" t="s">
        <v>1057</v>
      </c>
      <c r="J158" s="496"/>
      <c r="K158" s="1410"/>
      <c r="L158" s="135"/>
      <c r="M158" s="267"/>
      <c r="N158" s="260"/>
      <c r="O158" s="1536"/>
      <c r="P158" s="1536"/>
    </row>
    <row r="159" spans="1:16" s="1908" customFormat="1" ht="0.75" hidden="1" customHeight="1">
      <c r="A159" s="1690"/>
      <c r="B159" s="1690"/>
      <c r="C159" s="297" t="s">
        <v>1065</v>
      </c>
      <c r="D159" s="2415"/>
      <c r="E159" s="2223"/>
      <c r="F159" s="2358"/>
      <c r="G159" s="334"/>
      <c r="H159" s="1410"/>
      <c r="I159" s="572"/>
      <c r="J159" s="496"/>
      <c r="K159" s="1410"/>
      <c r="L159" s="135"/>
      <c r="M159" s="267"/>
      <c r="N159" s="260"/>
      <c r="O159" s="1536"/>
      <c r="P159" s="1536"/>
    </row>
    <row r="160" spans="1:16" s="1908" customFormat="1" ht="18.75" hidden="1" customHeight="1">
      <c r="A160" s="1690" t="s">
        <v>190</v>
      </c>
      <c r="B160" s="1690" t="s">
        <v>191</v>
      </c>
      <c r="C160" s="297"/>
      <c r="D160" s="2415"/>
      <c r="E160" s="2223"/>
      <c r="F160" s="2358"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86" t="str">
        <f>INDEX(PT_DIFFERENTIATION_NTAR,MATCH(B160,PT_DIFFERENTIATION_NTAR_ID,0))</f>
        <v/>
      </c>
      <c r="H160" s="1772"/>
      <c r="I160" s="1648"/>
      <c r="J160" s="1683"/>
      <c r="K160" s="1688"/>
      <c r="L160" s="1772" t="s">
        <v>295</v>
      </c>
      <c r="M160" s="267"/>
      <c r="N160" s="260"/>
      <c r="O160" s="1536"/>
      <c r="P160" s="1536"/>
    </row>
    <row r="161" spans="1:16" s="1908" customFormat="1" ht="18.75" hidden="1" customHeight="1">
      <c r="A161" s="1690"/>
      <c r="B161" s="1690"/>
      <c r="C161" s="297" t="s">
        <v>1058</v>
      </c>
      <c r="D161" s="2415"/>
      <c r="E161" s="2223"/>
      <c r="F161" s="2358"/>
      <c r="G161" s="2386"/>
      <c r="H161" s="1410"/>
      <c r="I161" s="572" t="s">
        <v>1057</v>
      </c>
      <c r="J161" s="496"/>
      <c r="K161" s="1410"/>
      <c r="L161" s="135"/>
      <c r="M161" s="267"/>
      <c r="N161" s="260"/>
      <c r="O161" s="1536"/>
      <c r="P161" s="1536"/>
    </row>
    <row r="162" spans="1:16" s="1908" customFormat="1" ht="0.75" hidden="1" customHeight="1">
      <c r="A162" s="1690"/>
      <c r="B162" s="1690"/>
      <c r="C162" s="297" t="s">
        <v>1065</v>
      </c>
      <c r="D162" s="2415"/>
      <c r="E162" s="2223"/>
      <c r="F162" s="2358"/>
      <c r="G162" s="334"/>
      <c r="H162" s="1410"/>
      <c r="I162" s="572"/>
      <c r="J162" s="496"/>
      <c r="K162" s="1410"/>
      <c r="L162" s="135"/>
      <c r="M162" s="267"/>
      <c r="N162" s="260"/>
      <c r="O162" s="1536"/>
      <c r="P162" s="1536"/>
    </row>
    <row r="163" spans="1:16" s="1908" customFormat="1" ht="18.75" hidden="1" customHeight="1">
      <c r="A163" s="1690" t="s">
        <v>196</v>
      </c>
      <c r="B163" s="1690" t="s">
        <v>197</v>
      </c>
      <c r="C163" s="297"/>
      <c r="D163" s="2415"/>
      <c r="E163" s="2223"/>
      <c r="F163" s="2358" t="str">
        <f>INDEX(PT_DIFFERENTIATION_VTAR,MATCH(A163,PT_DIFFERENTIATION_VTAR_ID,0))</f>
        <v>Плата за подключение (технологическое присоединение) к системе теплоснабжения</v>
      </c>
      <c r="G163" s="2386" t="str">
        <f>INDEX(PT_DIFFERENTIATION_NTAR,MATCH(B163,PT_DIFFERENTIATION_NTAR_ID,0))</f>
        <v/>
      </c>
      <c r="H163" s="1772"/>
      <c r="I163" s="1648"/>
      <c r="J163" s="1683"/>
      <c r="K163" s="1688"/>
      <c r="L163" s="1772" t="s">
        <v>295</v>
      </c>
      <c r="M163" s="267"/>
      <c r="N163" s="260"/>
      <c r="O163" s="1536"/>
      <c r="P163" s="1536"/>
    </row>
    <row r="164" spans="1:16" s="1908" customFormat="1" ht="18.75" hidden="1" customHeight="1">
      <c r="A164" s="1690"/>
      <c r="B164" s="1690"/>
      <c r="C164" s="297" t="s">
        <v>1058</v>
      </c>
      <c r="D164" s="2415"/>
      <c r="E164" s="2223"/>
      <c r="F164" s="2358"/>
      <c r="G164" s="2386"/>
      <c r="H164" s="1410"/>
      <c r="I164" s="572" t="s">
        <v>1057</v>
      </c>
      <c r="J164" s="496"/>
      <c r="K164" s="1410"/>
      <c r="L164" s="135"/>
      <c r="M164" s="267"/>
      <c r="N164" s="260"/>
      <c r="O164" s="1536"/>
      <c r="P164" s="1536"/>
    </row>
    <row r="165" spans="1:16" s="1908" customFormat="1" ht="0.75" hidden="1" customHeight="1">
      <c r="A165" s="1690"/>
      <c r="B165" s="1690"/>
      <c r="C165" s="297" t="s">
        <v>1065</v>
      </c>
      <c r="D165" s="2415"/>
      <c r="E165" s="2223"/>
      <c r="F165" s="2358"/>
      <c r="G165" s="334"/>
      <c r="H165" s="1410"/>
      <c r="I165" s="572"/>
      <c r="J165" s="496"/>
      <c r="K165" s="1410"/>
      <c r="L165" s="135"/>
      <c r="M165" s="267"/>
      <c r="N165" s="260"/>
      <c r="O165" s="1536"/>
      <c r="P165" s="1536"/>
    </row>
    <row r="166" spans="1:16" s="1908" customFormat="1" ht="18.75" hidden="1" customHeight="1">
      <c r="A166" s="1690" t="s">
        <v>211</v>
      </c>
      <c r="B166" s="1690" t="s">
        <v>212</v>
      </c>
      <c r="C166" s="297"/>
      <c r="D166" s="2415"/>
      <c r="E166" s="2223"/>
      <c r="F166" s="2358" t="str">
        <f>INDEX(PT_DIFFERENTIATION_VTAR,MATCH(A166,PT_DIFFERENTIATION_VTAR_ID,0))</f>
        <v>Тариф на питьевую воду (питьевое водоснабжение)</v>
      </c>
      <c r="G166" s="2386" t="str">
        <f>INDEX(PT_DIFFERENTIATION_NTAR,MATCH(B166,PT_DIFFERENTIATION_NTAR_ID,0))</f>
        <v/>
      </c>
      <c r="H166" s="1772"/>
      <c r="I166" s="1648"/>
      <c r="J166" s="1683"/>
      <c r="K166" s="1688"/>
      <c r="L166" s="1772" t="s">
        <v>295</v>
      </c>
      <c r="M166" s="267"/>
      <c r="N166" s="260"/>
      <c r="O166" s="1536"/>
      <c r="P166" s="1536"/>
    </row>
    <row r="167" spans="1:16" s="1908" customFormat="1" ht="18.75" hidden="1" customHeight="1">
      <c r="A167" s="1690"/>
      <c r="B167" s="1690"/>
      <c r="C167" s="297" t="s">
        <v>1058</v>
      </c>
      <c r="D167" s="2415"/>
      <c r="E167" s="2223"/>
      <c r="F167" s="2358"/>
      <c r="G167" s="2386"/>
      <c r="H167" s="1410"/>
      <c r="I167" s="572" t="s">
        <v>1057</v>
      </c>
      <c r="J167" s="496"/>
      <c r="K167" s="1410"/>
      <c r="L167" s="135"/>
      <c r="M167" s="267"/>
      <c r="N167" s="260"/>
      <c r="O167" s="1536"/>
      <c r="P167" s="1536"/>
    </row>
    <row r="168" spans="1:16" s="1908" customFormat="1" ht="0.75" hidden="1" customHeight="1">
      <c r="A168" s="1690"/>
      <c r="B168" s="1690"/>
      <c r="C168" s="297" t="s">
        <v>1065</v>
      </c>
      <c r="D168" s="2415"/>
      <c r="E168" s="2223"/>
      <c r="F168" s="2358"/>
      <c r="G168" s="334"/>
      <c r="H168" s="1410"/>
      <c r="I168" s="572"/>
      <c r="J168" s="496"/>
      <c r="K168" s="1410"/>
      <c r="L168" s="135"/>
      <c r="M168" s="267"/>
      <c r="N168" s="260"/>
      <c r="O168" s="1536"/>
      <c r="P168" s="1536"/>
    </row>
    <row r="169" spans="1:16" s="1908" customFormat="1" ht="18.75" hidden="1" customHeight="1">
      <c r="A169" s="1690" t="s">
        <v>219</v>
      </c>
      <c r="B169" s="1690" t="s">
        <v>220</v>
      </c>
      <c r="C169" s="297"/>
      <c r="D169" s="2415"/>
      <c r="E169" s="2223"/>
      <c r="F169" s="2358" t="str">
        <f>INDEX(PT_DIFFERENTIATION_VTAR,MATCH(A169,PT_DIFFERENTIATION_VTAR_ID,0))</f>
        <v>Тариф на техническую воду</v>
      </c>
      <c r="G169" s="2386" t="str">
        <f>INDEX(PT_DIFFERENTIATION_NTAR,MATCH(B169,PT_DIFFERENTIATION_NTAR_ID,0))</f>
        <v/>
      </c>
      <c r="H169" s="1772"/>
      <c r="I169" s="1648"/>
      <c r="J169" s="1683"/>
      <c r="K169" s="1688"/>
      <c r="L169" s="1772" t="s">
        <v>295</v>
      </c>
      <c r="M169" s="267"/>
      <c r="N169" s="260"/>
      <c r="O169" s="1536"/>
      <c r="P169" s="1536"/>
    </row>
    <row r="170" spans="1:16" s="1908" customFormat="1" ht="18.75" hidden="1" customHeight="1">
      <c r="A170" s="1690"/>
      <c r="B170" s="1690"/>
      <c r="C170" s="297" t="s">
        <v>1058</v>
      </c>
      <c r="D170" s="2415"/>
      <c r="E170" s="2223"/>
      <c r="F170" s="2358"/>
      <c r="G170" s="2386"/>
      <c r="H170" s="1410"/>
      <c r="I170" s="572" t="s">
        <v>1057</v>
      </c>
      <c r="J170" s="496"/>
      <c r="K170" s="1410"/>
      <c r="L170" s="135"/>
      <c r="M170" s="267"/>
      <c r="N170" s="260"/>
      <c r="O170" s="1536"/>
      <c r="P170" s="1536"/>
    </row>
    <row r="171" spans="1:16" s="1908" customFormat="1" ht="0.75" hidden="1" customHeight="1">
      <c r="A171" s="1690"/>
      <c r="B171" s="1690"/>
      <c r="C171" s="297" t="s">
        <v>1065</v>
      </c>
      <c r="D171" s="2415"/>
      <c r="E171" s="2223"/>
      <c r="F171" s="2358"/>
      <c r="G171" s="334"/>
      <c r="H171" s="1410"/>
      <c r="I171" s="572"/>
      <c r="J171" s="496"/>
      <c r="K171" s="1410"/>
      <c r="L171" s="135"/>
      <c r="M171" s="267"/>
      <c r="N171" s="260"/>
      <c r="O171" s="1536"/>
      <c r="P171" s="1536"/>
    </row>
    <row r="172" spans="1:16" s="1908" customFormat="1" ht="18.75" hidden="1" customHeight="1">
      <c r="A172" s="1690" t="s">
        <v>224</v>
      </c>
      <c r="B172" s="1690" t="s">
        <v>225</v>
      </c>
      <c r="C172" s="297"/>
      <c r="D172" s="2415"/>
      <c r="E172" s="2223"/>
      <c r="F172" s="2358" t="str">
        <f>INDEX(PT_DIFFERENTIATION_VTAR,MATCH(A172,PT_DIFFERENTIATION_VTAR_ID,0))</f>
        <v>Тариф на транспортировку воды</v>
      </c>
      <c r="G172" s="2386" t="str">
        <f>INDEX(PT_DIFFERENTIATION_NTAR,MATCH(B172,PT_DIFFERENTIATION_NTAR_ID,0))</f>
        <v/>
      </c>
      <c r="H172" s="1772"/>
      <c r="I172" s="1648"/>
      <c r="J172" s="1683"/>
      <c r="K172" s="1688"/>
      <c r="L172" s="1772" t="s">
        <v>295</v>
      </c>
      <c r="M172" s="267"/>
      <c r="N172" s="260"/>
      <c r="O172" s="1536"/>
      <c r="P172" s="1536"/>
    </row>
    <row r="173" spans="1:16" s="1908" customFormat="1" ht="18.75" hidden="1" customHeight="1">
      <c r="A173" s="1690"/>
      <c r="B173" s="1690"/>
      <c r="C173" s="297" t="s">
        <v>1058</v>
      </c>
      <c r="D173" s="2415"/>
      <c r="E173" s="2223"/>
      <c r="F173" s="2358"/>
      <c r="G173" s="2386"/>
      <c r="H173" s="1410"/>
      <c r="I173" s="572" t="s">
        <v>1057</v>
      </c>
      <c r="J173" s="496"/>
      <c r="K173" s="1410"/>
      <c r="L173" s="135"/>
      <c r="M173" s="267"/>
      <c r="N173" s="260"/>
      <c r="O173" s="1536"/>
      <c r="P173" s="1536"/>
    </row>
    <row r="174" spans="1:16" s="1908" customFormat="1" ht="0.75" hidden="1" customHeight="1">
      <c r="A174" s="1690"/>
      <c r="B174" s="1690"/>
      <c r="C174" s="297" t="s">
        <v>1065</v>
      </c>
      <c r="D174" s="2415"/>
      <c r="E174" s="2223"/>
      <c r="F174" s="2358"/>
      <c r="G174" s="334"/>
      <c r="H174" s="1410"/>
      <c r="I174" s="572"/>
      <c r="J174" s="496"/>
      <c r="K174" s="1410"/>
      <c r="L174" s="135"/>
      <c r="M174" s="267"/>
      <c r="N174" s="260"/>
      <c r="O174" s="1536"/>
      <c r="P174" s="1536"/>
    </row>
    <row r="175" spans="1:16" s="1908" customFormat="1" ht="18.75" hidden="1" customHeight="1">
      <c r="A175" s="1690" t="s">
        <v>229</v>
      </c>
      <c r="B175" s="1690" t="s">
        <v>230</v>
      </c>
      <c r="C175" s="297"/>
      <c r="D175" s="2415"/>
      <c r="E175" s="2223"/>
      <c r="F175" s="2358" t="str">
        <f>INDEX(PT_DIFFERENTIATION_VTAR,MATCH(A175,PT_DIFFERENTIATION_VTAR_ID,0))</f>
        <v>Тариф на подвоз воды</v>
      </c>
      <c r="G175" s="2386" t="str">
        <f>INDEX(PT_DIFFERENTIATION_NTAR,MATCH(B175,PT_DIFFERENTIATION_NTAR_ID,0))</f>
        <v/>
      </c>
      <c r="H175" s="1772"/>
      <c r="I175" s="1648"/>
      <c r="J175" s="1683"/>
      <c r="K175" s="1688"/>
      <c r="L175" s="1772" t="s">
        <v>295</v>
      </c>
      <c r="M175" s="267"/>
      <c r="N175" s="260"/>
      <c r="O175" s="1536"/>
      <c r="P175" s="1536"/>
    </row>
    <row r="176" spans="1:16" s="1908" customFormat="1" ht="18.75" hidden="1" customHeight="1">
      <c r="A176" s="1690"/>
      <c r="B176" s="1690"/>
      <c r="C176" s="297" t="s">
        <v>1058</v>
      </c>
      <c r="D176" s="2415"/>
      <c r="E176" s="2223"/>
      <c r="F176" s="2358"/>
      <c r="G176" s="2386"/>
      <c r="H176" s="1410"/>
      <c r="I176" s="572" t="s">
        <v>1057</v>
      </c>
      <c r="J176" s="496"/>
      <c r="K176" s="1410"/>
      <c r="L176" s="135"/>
      <c r="M176" s="267"/>
      <c r="N176" s="260"/>
      <c r="O176" s="1536"/>
      <c r="P176" s="1536"/>
    </row>
    <row r="177" spans="1:16" s="1908" customFormat="1" ht="0.75" hidden="1" customHeight="1">
      <c r="A177" s="1690"/>
      <c r="B177" s="1690"/>
      <c r="C177" s="297" t="s">
        <v>1065</v>
      </c>
      <c r="D177" s="2415"/>
      <c r="E177" s="2223"/>
      <c r="F177" s="2358"/>
      <c r="G177" s="334"/>
      <c r="H177" s="1410"/>
      <c r="I177" s="572"/>
      <c r="J177" s="496"/>
      <c r="K177" s="1410"/>
      <c r="L177" s="135"/>
      <c r="M177" s="267"/>
      <c r="N177" s="260"/>
      <c r="O177" s="1536"/>
      <c r="P177" s="1536"/>
    </row>
    <row r="178" spans="1:16" s="1908" customFormat="1" ht="18.75" hidden="1" customHeight="1">
      <c r="A178" s="1690" t="s">
        <v>234</v>
      </c>
      <c r="B178" s="1690" t="s">
        <v>235</v>
      </c>
      <c r="C178" s="297"/>
      <c r="D178" s="2415"/>
      <c r="E178" s="2223"/>
      <c r="F178" s="2358"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386" t="str">
        <f>INDEX(PT_DIFFERENTIATION_NTAR,MATCH(B178,PT_DIFFERENTIATION_NTAR_ID,0))</f>
        <v/>
      </c>
      <c r="H178" s="1772"/>
      <c r="I178" s="1648"/>
      <c r="J178" s="1683"/>
      <c r="K178" s="1688"/>
      <c r="L178" s="1772" t="s">
        <v>295</v>
      </c>
      <c r="M178" s="267"/>
      <c r="N178" s="260"/>
      <c r="O178" s="1536"/>
      <c r="P178" s="1536"/>
    </row>
    <row r="179" spans="1:16" s="1908" customFormat="1" ht="18.75" hidden="1" customHeight="1">
      <c r="A179" s="1690"/>
      <c r="B179" s="1690"/>
      <c r="C179" s="297" t="s">
        <v>1058</v>
      </c>
      <c r="D179" s="2415"/>
      <c r="E179" s="2223"/>
      <c r="F179" s="2358"/>
      <c r="G179" s="2386"/>
      <c r="H179" s="1410"/>
      <c r="I179" s="572" t="s">
        <v>1057</v>
      </c>
      <c r="J179" s="496"/>
      <c r="K179" s="1410"/>
      <c r="L179" s="135"/>
      <c r="M179" s="267"/>
      <c r="N179" s="260"/>
      <c r="O179" s="1536"/>
      <c r="P179" s="1536"/>
    </row>
    <row r="180" spans="1:16" s="1908" customFormat="1" ht="0.75" hidden="1" customHeight="1">
      <c r="A180" s="1690"/>
      <c r="B180" s="1690"/>
      <c r="C180" s="297" t="s">
        <v>1065</v>
      </c>
      <c r="D180" s="2415"/>
      <c r="E180" s="2223"/>
      <c r="F180" s="2358"/>
      <c r="G180" s="334"/>
      <c r="H180" s="1410"/>
      <c r="I180" s="572"/>
      <c r="J180" s="496"/>
      <c r="K180" s="1410"/>
      <c r="L180" s="135"/>
      <c r="M180" s="267"/>
      <c r="N180" s="260"/>
      <c r="O180" s="1536"/>
      <c r="P180" s="1536"/>
    </row>
    <row r="181" spans="1:16" s="1908" customFormat="1" ht="18.75" hidden="1" customHeight="1">
      <c r="A181" s="1690" t="s">
        <v>239</v>
      </c>
      <c r="B181" s="1690" t="s">
        <v>240</v>
      </c>
      <c r="C181" s="297"/>
      <c r="D181" s="2415"/>
      <c r="E181" s="2223"/>
      <c r="F181" s="2358" t="str">
        <f>INDEX(PT_DIFFERENTIATION_VTAR,MATCH(A181,PT_DIFFERENTIATION_VTAR_ID,0))</f>
        <v>Тариф на горячую воду (горячее водоснабжение)</v>
      </c>
      <c r="G181" s="2386" t="str">
        <f>INDEX(PT_DIFFERENTIATION_NTAR,MATCH(B181,PT_DIFFERENTIATION_NTAR_ID,0))</f>
        <v/>
      </c>
      <c r="H181" s="1772"/>
      <c r="I181" s="1648"/>
      <c r="J181" s="1683"/>
      <c r="K181" s="1688"/>
      <c r="L181" s="1772" t="s">
        <v>295</v>
      </c>
      <c r="M181" s="267"/>
      <c r="N181" s="260"/>
      <c r="O181" s="1536"/>
      <c r="P181" s="1536"/>
    </row>
    <row r="182" spans="1:16" s="1908" customFormat="1" ht="18.75" hidden="1" customHeight="1">
      <c r="A182" s="1690"/>
      <c r="B182" s="1690"/>
      <c r="C182" s="297" t="s">
        <v>1058</v>
      </c>
      <c r="D182" s="2415"/>
      <c r="E182" s="2223"/>
      <c r="F182" s="2358"/>
      <c r="G182" s="2386"/>
      <c r="H182" s="1410"/>
      <c r="I182" s="572" t="s">
        <v>1057</v>
      </c>
      <c r="J182" s="496"/>
      <c r="K182" s="1410"/>
      <c r="L182" s="135"/>
      <c r="M182" s="267"/>
      <c r="N182" s="260"/>
      <c r="O182" s="1536"/>
      <c r="P182" s="1536"/>
    </row>
    <row r="183" spans="1:16" s="1908" customFormat="1" ht="0.75" hidden="1" customHeight="1">
      <c r="A183" s="1690"/>
      <c r="B183" s="1690"/>
      <c r="C183" s="297" t="s">
        <v>1065</v>
      </c>
      <c r="D183" s="2415"/>
      <c r="E183" s="2223"/>
      <c r="F183" s="2358"/>
      <c r="G183" s="334"/>
      <c r="H183" s="1410"/>
      <c r="I183" s="572"/>
      <c r="J183" s="496"/>
      <c r="K183" s="1410"/>
      <c r="L183" s="135"/>
      <c r="M183" s="267"/>
      <c r="N183" s="260"/>
      <c r="O183" s="1536"/>
      <c r="P183" s="1536"/>
    </row>
    <row r="184" spans="1:16" s="1908" customFormat="1" ht="18.75" hidden="1" customHeight="1">
      <c r="A184" s="1690" t="s">
        <v>244</v>
      </c>
      <c r="B184" s="1690" t="s">
        <v>245</v>
      </c>
      <c r="C184" s="297"/>
      <c r="D184" s="2415"/>
      <c r="E184" s="2223"/>
      <c r="F184" s="2358" t="str">
        <f>INDEX(PT_DIFFERENTIATION_VTAR,MATCH(A184,PT_DIFFERENTIATION_VTAR_ID,0))</f>
        <v>Тариф на транспортировку горячей воды</v>
      </c>
      <c r="G184" s="2386" t="str">
        <f>INDEX(PT_DIFFERENTIATION_NTAR,MATCH(B184,PT_DIFFERENTIATION_NTAR_ID,0))</f>
        <v/>
      </c>
      <c r="H184" s="1772"/>
      <c r="I184" s="1648"/>
      <c r="J184" s="1683"/>
      <c r="K184" s="1688"/>
      <c r="L184" s="1772" t="s">
        <v>295</v>
      </c>
      <c r="M184" s="267"/>
      <c r="N184" s="260"/>
      <c r="O184" s="1536"/>
      <c r="P184" s="1536"/>
    </row>
    <row r="185" spans="1:16" s="1908" customFormat="1" ht="18.75" hidden="1" customHeight="1">
      <c r="A185" s="1690"/>
      <c r="B185" s="1690"/>
      <c r="C185" s="297" t="s">
        <v>1058</v>
      </c>
      <c r="D185" s="2415"/>
      <c r="E185" s="2223"/>
      <c r="F185" s="2358"/>
      <c r="G185" s="2386"/>
      <c r="H185" s="1410"/>
      <c r="I185" s="572" t="s">
        <v>1057</v>
      </c>
      <c r="J185" s="496"/>
      <c r="K185" s="1410"/>
      <c r="L185" s="135"/>
      <c r="M185" s="267"/>
      <c r="N185" s="260"/>
      <c r="O185" s="1536"/>
      <c r="P185" s="1536"/>
    </row>
    <row r="186" spans="1:16" s="1908" customFormat="1" ht="0.75" hidden="1" customHeight="1">
      <c r="A186" s="1690"/>
      <c r="B186" s="1690"/>
      <c r="C186" s="297" t="s">
        <v>1065</v>
      </c>
      <c r="D186" s="2415"/>
      <c r="E186" s="2223"/>
      <c r="F186" s="2358"/>
      <c r="G186" s="334"/>
      <c r="H186" s="1410"/>
      <c r="I186" s="572"/>
      <c r="J186" s="496"/>
      <c r="K186" s="1410"/>
      <c r="L186" s="135"/>
      <c r="M186" s="267"/>
      <c r="N186" s="260"/>
      <c r="O186" s="1536"/>
      <c r="P186" s="1536"/>
    </row>
    <row r="187" spans="1:16" s="1908" customFormat="1" ht="18.75" hidden="1" customHeight="1">
      <c r="A187" s="1690" t="s">
        <v>249</v>
      </c>
      <c r="B187" s="1690" t="s">
        <v>250</v>
      </c>
      <c r="C187" s="297"/>
      <c r="D187" s="2415"/>
      <c r="E187" s="2223"/>
      <c r="F187" s="2358" t="str">
        <f>INDEX(PT_DIFFERENTIATION_VTAR,MATCH(A187,PT_DIFFERENTIATION_VTAR_ID,0))</f>
        <v>Тариф на подключение (технологическое присоединение) к централизованной системе горячего водоснабжения</v>
      </c>
      <c r="G187" s="2386" t="str">
        <f>INDEX(PT_DIFFERENTIATION_NTAR,MATCH(B187,PT_DIFFERENTIATION_NTAR_ID,0))</f>
        <v/>
      </c>
      <c r="H187" s="1772"/>
      <c r="I187" s="1648"/>
      <c r="J187" s="1683"/>
      <c r="K187" s="1688"/>
      <c r="L187" s="1772" t="s">
        <v>295</v>
      </c>
      <c r="M187" s="267"/>
      <c r="N187" s="260"/>
      <c r="O187" s="1536"/>
      <c r="P187" s="1536"/>
    </row>
    <row r="188" spans="1:16" s="1908" customFormat="1" ht="18.75" hidden="1" customHeight="1">
      <c r="A188" s="1690"/>
      <c r="B188" s="1690"/>
      <c r="C188" s="297" t="s">
        <v>1058</v>
      </c>
      <c r="D188" s="2415"/>
      <c r="E188" s="2223"/>
      <c r="F188" s="2358"/>
      <c r="G188" s="2386"/>
      <c r="H188" s="1410"/>
      <c r="I188" s="572" t="s">
        <v>1057</v>
      </c>
      <c r="J188" s="496"/>
      <c r="K188" s="1410"/>
      <c r="L188" s="135"/>
      <c r="M188" s="267"/>
      <c r="N188" s="260"/>
      <c r="O188" s="1536"/>
      <c r="P188" s="1536"/>
    </row>
    <row r="189" spans="1:16" s="1908" customFormat="1" ht="0.75" hidden="1" customHeight="1">
      <c r="A189" s="1690"/>
      <c r="B189" s="1690"/>
      <c r="C189" s="297" t="s">
        <v>1065</v>
      </c>
      <c r="D189" s="2415"/>
      <c r="E189" s="2223"/>
      <c r="F189" s="2358"/>
      <c r="G189" s="334"/>
      <c r="H189" s="1410"/>
      <c r="I189" s="572"/>
      <c r="J189" s="496"/>
      <c r="K189" s="1410"/>
      <c r="L189" s="135"/>
      <c r="M189" s="267"/>
      <c r="N189" s="260"/>
      <c r="O189" s="1536"/>
      <c r="P189" s="1536"/>
    </row>
    <row r="190" spans="1:16" s="1908" customFormat="1" ht="18.75" hidden="1" customHeight="1">
      <c r="A190" s="1690" t="s">
        <v>254</v>
      </c>
      <c r="B190" s="1690" t="s">
        <v>255</v>
      </c>
      <c r="C190" s="297"/>
      <c r="D190" s="2415"/>
      <c r="E190" s="2223"/>
      <c r="F190" s="2358" t="str">
        <f>INDEX(PT_DIFFERENTIATION_VTAR,MATCH(A190,PT_DIFFERENTIATION_VTAR_ID,0))</f>
        <v>Тариф на водоотведение</v>
      </c>
      <c r="G190" s="2386" t="str">
        <f>INDEX(PT_DIFFERENTIATION_NTAR,MATCH(B190,PT_DIFFERENTIATION_NTAR_ID,0))</f>
        <v/>
      </c>
      <c r="H190" s="1772"/>
      <c r="I190" s="1648"/>
      <c r="J190" s="1683"/>
      <c r="K190" s="1688"/>
      <c r="L190" s="1772" t="s">
        <v>295</v>
      </c>
      <c r="M190" s="267"/>
      <c r="N190" s="260"/>
      <c r="O190" s="1536"/>
      <c r="P190" s="1536"/>
    </row>
    <row r="191" spans="1:16" s="1908" customFormat="1" ht="18.75" hidden="1" customHeight="1">
      <c r="A191" s="1690"/>
      <c r="B191" s="1690"/>
      <c r="C191" s="297" t="s">
        <v>1058</v>
      </c>
      <c r="D191" s="2415"/>
      <c r="E191" s="2223"/>
      <c r="F191" s="2358"/>
      <c r="G191" s="2386"/>
      <c r="H191" s="1410"/>
      <c r="I191" s="572" t="s">
        <v>1057</v>
      </c>
      <c r="J191" s="496"/>
      <c r="K191" s="1410"/>
      <c r="L191" s="135"/>
      <c r="M191" s="267"/>
      <c r="N191" s="260"/>
      <c r="O191" s="1536"/>
      <c r="P191" s="1536"/>
    </row>
    <row r="192" spans="1:16" s="1908" customFormat="1" ht="0.75" hidden="1" customHeight="1">
      <c r="A192" s="1690"/>
      <c r="B192" s="1690"/>
      <c r="C192" s="297" t="s">
        <v>1065</v>
      </c>
      <c r="D192" s="2415"/>
      <c r="E192" s="2223"/>
      <c r="F192" s="2358"/>
      <c r="G192" s="334"/>
      <c r="H192" s="1410"/>
      <c r="I192" s="572"/>
      <c r="J192" s="496"/>
      <c r="K192" s="1410"/>
      <c r="L192" s="135"/>
      <c r="M192" s="267"/>
      <c r="N192" s="260"/>
      <c r="O192" s="1536"/>
      <c r="P192" s="1536"/>
    </row>
    <row r="193" spans="1:16" s="1908" customFormat="1" ht="18.75" hidden="1" customHeight="1">
      <c r="A193" s="1690" t="s">
        <v>259</v>
      </c>
      <c r="B193" s="1690" t="s">
        <v>260</v>
      </c>
      <c r="C193" s="297"/>
      <c r="D193" s="2415"/>
      <c r="E193" s="2223"/>
      <c r="F193" s="2358" t="str">
        <f>INDEX(PT_DIFFERENTIATION_VTAR,MATCH(A193,PT_DIFFERENTIATION_VTAR_ID,0))</f>
        <v>Тариф на транспортировку сточных вод</v>
      </c>
      <c r="G193" s="2386" t="str">
        <f>INDEX(PT_DIFFERENTIATION_NTAR,MATCH(B193,PT_DIFFERENTIATION_NTAR_ID,0))</f>
        <v/>
      </c>
      <c r="H193" s="1772"/>
      <c r="I193" s="1648"/>
      <c r="J193" s="1683"/>
      <c r="K193" s="1688"/>
      <c r="L193" s="1772" t="s">
        <v>295</v>
      </c>
      <c r="M193" s="267"/>
      <c r="N193" s="260"/>
      <c r="O193" s="1536"/>
      <c r="P193" s="1536"/>
    </row>
    <row r="194" spans="1:16" s="1908" customFormat="1" ht="18.75" hidden="1" customHeight="1">
      <c r="A194" s="1690"/>
      <c r="B194" s="1690"/>
      <c r="C194" s="297" t="s">
        <v>1058</v>
      </c>
      <c r="D194" s="2415"/>
      <c r="E194" s="2223"/>
      <c r="F194" s="2358"/>
      <c r="G194" s="2386"/>
      <c r="H194" s="1410"/>
      <c r="I194" s="572" t="s">
        <v>1057</v>
      </c>
      <c r="J194" s="496"/>
      <c r="K194" s="1410"/>
      <c r="L194" s="135"/>
      <c r="M194" s="267"/>
      <c r="N194" s="260"/>
      <c r="O194" s="1536"/>
      <c r="P194" s="1536"/>
    </row>
    <row r="195" spans="1:16" s="1908" customFormat="1" ht="0.75" hidden="1" customHeight="1">
      <c r="A195" s="1690"/>
      <c r="B195" s="1690"/>
      <c r="C195" s="297" t="s">
        <v>1065</v>
      </c>
      <c r="D195" s="2415"/>
      <c r="E195" s="2223"/>
      <c r="F195" s="2358"/>
      <c r="G195" s="334"/>
      <c r="H195" s="1410"/>
      <c r="I195" s="572"/>
      <c r="J195" s="496"/>
      <c r="K195" s="1410"/>
      <c r="L195" s="135"/>
      <c r="M195" s="267"/>
      <c r="N195" s="260"/>
      <c r="O195" s="1536"/>
      <c r="P195" s="1536"/>
    </row>
    <row r="196" spans="1:16" s="1908" customFormat="1" ht="18.75" hidden="1" customHeight="1">
      <c r="A196" s="1690" t="s">
        <v>264</v>
      </c>
      <c r="B196" s="1690" t="s">
        <v>265</v>
      </c>
      <c r="C196" s="297"/>
      <c r="D196" s="2415"/>
      <c r="E196" s="2223"/>
      <c r="F196" s="2358" t="str">
        <f>INDEX(PT_DIFFERENTIATION_VTAR,MATCH(A196,PT_DIFFERENTIATION_VTAR_ID,0))</f>
        <v>Тариф на подключение (технологическое присоединение) к централизованной системе водоотведения</v>
      </c>
      <c r="G196" s="2386" t="str">
        <f>INDEX(PT_DIFFERENTIATION_NTAR,MATCH(B196,PT_DIFFERENTIATION_NTAR_ID,0))</f>
        <v/>
      </c>
      <c r="H196" s="1772"/>
      <c r="I196" s="1648"/>
      <c r="J196" s="1683"/>
      <c r="K196" s="1688"/>
      <c r="L196" s="1772" t="s">
        <v>295</v>
      </c>
      <c r="M196" s="267"/>
      <c r="N196" s="260"/>
      <c r="O196" s="1536"/>
      <c r="P196" s="1536"/>
    </row>
    <row r="197" spans="1:16" s="1908" customFormat="1" ht="18.75" hidden="1" customHeight="1">
      <c r="A197" s="1690"/>
      <c r="B197" s="1690"/>
      <c r="C197" s="297" t="s">
        <v>1058</v>
      </c>
      <c r="D197" s="2415"/>
      <c r="E197" s="2223"/>
      <c r="F197" s="2358"/>
      <c r="G197" s="2386"/>
      <c r="H197" s="1410"/>
      <c r="I197" s="572" t="s">
        <v>1057</v>
      </c>
      <c r="J197" s="496"/>
      <c r="K197" s="1410"/>
      <c r="L197" s="135"/>
      <c r="M197" s="267"/>
      <c r="N197" s="260"/>
      <c r="O197" s="1536"/>
      <c r="P197" s="1536"/>
    </row>
    <row r="198" spans="1:16" s="1908" customFormat="1" ht="0.75" customHeight="1">
      <c r="A198" s="1690"/>
      <c r="B198" s="1690"/>
      <c r="C198" s="297" t="s">
        <v>1065</v>
      </c>
      <c r="D198" s="2415"/>
      <c r="E198" s="2223"/>
      <c r="F198" s="2358"/>
      <c r="G198" s="334"/>
      <c r="H198" s="1410"/>
      <c r="I198" s="572"/>
      <c r="J198" s="496"/>
      <c r="K198" s="1410"/>
      <c r="L198" s="135"/>
      <c r="M198" s="267"/>
      <c r="N198" s="260"/>
      <c r="O198" s="1536"/>
      <c r="P198" s="1536"/>
    </row>
    <row r="199" spans="1:16" ht="26.25" customHeight="1">
      <c r="A199" s="1690"/>
      <c r="B199" s="1690"/>
      <c r="D199" s="305"/>
      <c r="E199" s="71" t="s">
        <v>110</v>
      </c>
      <c r="F199" s="241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414"/>
      <c r="H199" s="2414"/>
      <c r="I199" s="2414"/>
      <c r="J199" s="2414"/>
      <c r="K199" s="2414"/>
      <c r="L199" s="2414"/>
      <c r="M199" s="215"/>
      <c r="N199" s="260"/>
    </row>
    <row r="200" spans="1:16" s="1908" customFormat="1" ht="60.75" hidden="1" customHeight="1">
      <c r="A200" s="1690" t="s">
        <v>154</v>
      </c>
      <c r="B200" s="1690" t="s">
        <v>155</v>
      </c>
      <c r="C200" s="297"/>
      <c r="D200" s="2415"/>
      <c r="E200" s="2223"/>
      <c r="F200" s="2358"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86" t="str">
        <f>INDEX(PT_DIFFERENTIATION_NTAR,MATCH(B200,PT_DIFFERENTIATION_NTAR_ID,0))</f>
        <v/>
      </c>
      <c r="H200" s="1772"/>
      <c r="I200" s="1648"/>
      <c r="J200" s="1683"/>
      <c r="K200" s="1688"/>
      <c r="L200" s="1772" t="s">
        <v>295</v>
      </c>
      <c r="M200"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0" s="260"/>
      <c r="O200" s="1536"/>
      <c r="P200" s="1536"/>
    </row>
    <row r="201" spans="1:16" s="1908" customFormat="1" ht="18.75" hidden="1" customHeight="1">
      <c r="A201" s="1690"/>
      <c r="B201" s="1690"/>
      <c r="C201" s="297" t="s">
        <v>1058</v>
      </c>
      <c r="D201" s="2415"/>
      <c r="E201" s="2223"/>
      <c r="F201" s="2358"/>
      <c r="G201" s="2386"/>
      <c r="H201" s="1410"/>
      <c r="I201" s="572" t="s">
        <v>1057</v>
      </c>
      <c r="J201" s="496"/>
      <c r="K201" s="1410"/>
      <c r="L201" s="135"/>
      <c r="M201" s="2186"/>
      <c r="N201" s="260"/>
      <c r="O201" s="1536"/>
      <c r="P201" s="1536"/>
    </row>
    <row r="202" spans="1:16" s="1908" customFormat="1" ht="0.75" hidden="1" customHeight="1">
      <c r="A202" s="1690"/>
      <c r="B202" s="1690"/>
      <c r="C202" s="297" t="s">
        <v>1065</v>
      </c>
      <c r="D202" s="2415"/>
      <c r="E202" s="2223"/>
      <c r="F202" s="2358"/>
      <c r="G202" s="334"/>
      <c r="H202" s="1410"/>
      <c r="I202" s="572"/>
      <c r="J202" s="496"/>
      <c r="K202" s="1410"/>
      <c r="L202" s="135"/>
      <c r="M202" s="2186"/>
      <c r="N202" s="260"/>
      <c r="O202" s="1536"/>
      <c r="P202" s="1536"/>
    </row>
    <row r="203" spans="1:16" s="1908" customFormat="1" ht="45" hidden="1" customHeight="1">
      <c r="A203" s="1690" t="s">
        <v>160</v>
      </c>
      <c r="B203" s="1690" t="s">
        <v>161</v>
      </c>
      <c r="C203" s="297"/>
      <c r="D203" s="2415"/>
      <c r="E203" s="2223"/>
      <c r="F203" s="2358"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86" t="str">
        <f>INDEX(PT_DIFFERENTIATION_NTAR,MATCH(B203,PT_DIFFERENTIATION_NTAR_ID,0))</f>
        <v/>
      </c>
      <c r="H203" s="1772"/>
      <c r="I203" s="1648"/>
      <c r="J203" s="1683"/>
      <c r="K203" s="1688"/>
      <c r="L203" s="1772" t="s">
        <v>295</v>
      </c>
      <c r="M203" s="2187"/>
      <c r="N203" s="260"/>
      <c r="O203" s="1536"/>
      <c r="P203" s="1536"/>
    </row>
    <row r="204" spans="1:16" s="1908" customFormat="1" ht="18.75" hidden="1" customHeight="1">
      <c r="A204" s="1690"/>
      <c r="B204" s="1690"/>
      <c r="C204" s="297" t="s">
        <v>1058</v>
      </c>
      <c r="D204" s="2415"/>
      <c r="E204" s="2223"/>
      <c r="F204" s="2358"/>
      <c r="G204" s="2386"/>
      <c r="H204" s="1410"/>
      <c r="I204" s="572" t="s">
        <v>1057</v>
      </c>
      <c r="J204" s="496"/>
      <c r="K204" s="1410"/>
      <c r="L204" s="135"/>
      <c r="M204" s="1771"/>
      <c r="N204" s="260"/>
      <c r="O204" s="1536"/>
      <c r="P204" s="1536"/>
    </row>
    <row r="205" spans="1:16" s="1908" customFormat="1" ht="0.75" hidden="1" customHeight="1">
      <c r="A205" s="1690"/>
      <c r="B205" s="1690"/>
      <c r="C205" s="297" t="s">
        <v>1065</v>
      </c>
      <c r="D205" s="2415"/>
      <c r="E205" s="2223"/>
      <c r="F205" s="2358"/>
      <c r="G205" s="334"/>
      <c r="H205" s="1410"/>
      <c r="I205" s="572"/>
      <c r="J205" s="496"/>
      <c r="K205" s="1410"/>
      <c r="L205" s="135"/>
      <c r="M205" s="267"/>
      <c r="N205" s="260"/>
      <c r="O205" s="1536"/>
      <c r="P205" s="1536"/>
    </row>
    <row r="206" spans="1:16" s="1908" customFormat="1" ht="45" hidden="1" customHeight="1">
      <c r="A206" s="1690" t="s">
        <v>166</v>
      </c>
      <c r="B206" s="1690" t="s">
        <v>167</v>
      </c>
      <c r="C206" s="297"/>
      <c r="D206" s="2415"/>
      <c r="E206" s="2223"/>
      <c r="F206" s="2358"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86" t="str">
        <f>INDEX(PT_DIFFERENTIATION_NTAR,MATCH(B206,PT_DIFFERENTIATION_NTAR_ID,0))</f>
        <v/>
      </c>
      <c r="H206" s="1772"/>
      <c r="I206" s="1648"/>
      <c r="J206" s="1683"/>
      <c r="K206" s="1688"/>
      <c r="L206" s="1772" t="s">
        <v>295</v>
      </c>
      <c r="M206" s="267"/>
      <c r="N206" s="260"/>
      <c r="O206" s="1536"/>
      <c r="P206" s="1536"/>
    </row>
    <row r="207" spans="1:16" s="1908" customFormat="1" ht="18.75" hidden="1" customHeight="1">
      <c r="A207" s="1690"/>
      <c r="B207" s="1690"/>
      <c r="C207" s="297" t="s">
        <v>1058</v>
      </c>
      <c r="D207" s="2415"/>
      <c r="E207" s="2223"/>
      <c r="F207" s="2358"/>
      <c r="G207" s="2386"/>
      <c r="H207" s="1410"/>
      <c r="I207" s="572" t="s">
        <v>1057</v>
      </c>
      <c r="J207" s="496"/>
      <c r="K207" s="1410"/>
      <c r="L207" s="135"/>
      <c r="M207" s="267"/>
      <c r="N207" s="260"/>
      <c r="O207" s="1536"/>
      <c r="P207" s="1536"/>
    </row>
    <row r="208" spans="1:16" s="1908" customFormat="1" ht="0.75" hidden="1" customHeight="1">
      <c r="A208" s="1690"/>
      <c r="B208" s="1690"/>
      <c r="C208" s="297" t="s">
        <v>1065</v>
      </c>
      <c r="D208" s="2415"/>
      <c r="E208" s="2223"/>
      <c r="F208" s="2358"/>
      <c r="G208" s="334"/>
      <c r="H208" s="1410"/>
      <c r="I208" s="572"/>
      <c r="J208" s="496"/>
      <c r="K208" s="1410"/>
      <c r="L208" s="135"/>
      <c r="M208" s="267"/>
      <c r="N208" s="260"/>
      <c r="O208" s="1536"/>
      <c r="P208" s="1536"/>
    </row>
    <row r="209" spans="1:16" s="1908" customFormat="1" ht="45" hidden="1" customHeight="1">
      <c r="A209" s="1690" t="s">
        <v>172</v>
      </c>
      <c r="B209" s="1690" t="s">
        <v>173</v>
      </c>
      <c r="C209" s="297"/>
      <c r="D209" s="2415"/>
      <c r="E209" s="2223"/>
      <c r="F209" s="2358"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86" t="str">
        <f>INDEX(PT_DIFFERENTIATION_NTAR,MATCH(B209,PT_DIFFERENTIATION_NTAR_ID,0))</f>
        <v/>
      </c>
      <c r="H209" s="1772"/>
      <c r="I209" s="1648"/>
      <c r="J209" s="1683"/>
      <c r="K209" s="1688"/>
      <c r="L209" s="1772" t="s">
        <v>295</v>
      </c>
      <c r="M209" s="267"/>
      <c r="N209" s="260"/>
      <c r="O209" s="1536"/>
      <c r="P209" s="1536"/>
    </row>
    <row r="210" spans="1:16" s="1908" customFormat="1" ht="18.75" hidden="1" customHeight="1">
      <c r="A210" s="1690"/>
      <c r="B210" s="1690"/>
      <c r="C210" s="297" t="s">
        <v>1058</v>
      </c>
      <c r="D210" s="2415"/>
      <c r="E210" s="2223"/>
      <c r="F210" s="2358"/>
      <c r="G210" s="2386"/>
      <c r="H210" s="1410"/>
      <c r="I210" s="572" t="s">
        <v>1057</v>
      </c>
      <c r="J210" s="496"/>
      <c r="K210" s="1410"/>
      <c r="L210" s="135"/>
      <c r="M210" s="267"/>
      <c r="N210" s="260"/>
      <c r="O210" s="1536"/>
      <c r="P210" s="1536"/>
    </row>
    <row r="211" spans="1:16" s="1908" customFormat="1" ht="0.75" hidden="1" customHeight="1">
      <c r="A211" s="1690"/>
      <c r="B211" s="1690"/>
      <c r="C211" s="297" t="s">
        <v>1065</v>
      </c>
      <c r="D211" s="2415"/>
      <c r="E211" s="2223"/>
      <c r="F211" s="2358"/>
      <c r="G211" s="334"/>
      <c r="H211" s="1410"/>
      <c r="I211" s="572"/>
      <c r="J211" s="496"/>
      <c r="K211" s="1410"/>
      <c r="L211" s="135"/>
      <c r="M211" s="267"/>
      <c r="N211" s="260"/>
      <c r="O211" s="1536"/>
      <c r="P211" s="1536"/>
    </row>
    <row r="212" spans="1:16" s="1908" customFormat="1" ht="18.75" hidden="1" customHeight="1">
      <c r="A212" s="1690" t="s">
        <v>178</v>
      </c>
      <c r="B212" s="1690" t="s">
        <v>179</v>
      </c>
      <c r="C212" s="297"/>
      <c r="D212" s="2415"/>
      <c r="E212" s="2223"/>
      <c r="F212" s="2358" t="str">
        <f>INDEX(PT_DIFFERENTIATION_VTAR,MATCH(A212,PT_DIFFERENTIATION_VTAR_ID,0))</f>
        <v>Тарифы на услуги по передаче тепловой энергии</v>
      </c>
      <c r="G212" s="2386" t="str">
        <f>INDEX(PT_DIFFERENTIATION_NTAR,MATCH(B212,PT_DIFFERENTIATION_NTAR_ID,0))</f>
        <v/>
      </c>
      <c r="H212" s="1772"/>
      <c r="I212" s="1648"/>
      <c r="J212" s="1683"/>
      <c r="K212" s="1688"/>
      <c r="L212" s="1772" t="s">
        <v>295</v>
      </c>
      <c r="M212" s="267"/>
      <c r="N212" s="260"/>
      <c r="O212" s="1536"/>
      <c r="P212" s="1536"/>
    </row>
    <row r="213" spans="1:16" s="1908" customFormat="1" ht="18.75" hidden="1" customHeight="1">
      <c r="A213" s="1690"/>
      <c r="B213" s="1690"/>
      <c r="C213" s="297" t="s">
        <v>1058</v>
      </c>
      <c r="D213" s="2415"/>
      <c r="E213" s="2223"/>
      <c r="F213" s="2358"/>
      <c r="G213" s="2386"/>
      <c r="H213" s="1410"/>
      <c r="I213" s="572" t="s">
        <v>1057</v>
      </c>
      <c r="J213" s="496"/>
      <c r="K213" s="1410"/>
      <c r="L213" s="135"/>
      <c r="M213" s="267"/>
      <c r="N213" s="260"/>
      <c r="O213" s="1536"/>
      <c r="P213" s="1536"/>
    </row>
    <row r="214" spans="1:16" s="1908" customFormat="1" ht="0.75" hidden="1" customHeight="1">
      <c r="A214" s="1690"/>
      <c r="B214" s="1690"/>
      <c r="C214" s="297" t="s">
        <v>1065</v>
      </c>
      <c r="D214" s="2415"/>
      <c r="E214" s="2223"/>
      <c r="F214" s="2358"/>
      <c r="G214" s="334"/>
      <c r="H214" s="1410"/>
      <c r="I214" s="572"/>
      <c r="J214" s="496"/>
      <c r="K214" s="1410"/>
      <c r="L214" s="135"/>
      <c r="M214" s="267"/>
      <c r="N214" s="260"/>
      <c r="O214" s="1536"/>
      <c r="P214" s="1536"/>
    </row>
    <row r="215" spans="1:16" s="1908" customFormat="1" ht="18.75" hidden="1" customHeight="1">
      <c r="A215" s="1690" t="s">
        <v>184</v>
      </c>
      <c r="B215" s="1690" t="s">
        <v>185</v>
      </c>
      <c r="C215" s="297"/>
      <c r="D215" s="2415"/>
      <c r="E215" s="2223"/>
      <c r="F215" s="2358" t="str">
        <f>INDEX(PT_DIFFERENTIATION_VTAR,MATCH(A215,PT_DIFFERENTIATION_VTAR_ID,0))</f>
        <v>Тарифы на услуги по передаче теплоносителя</v>
      </c>
      <c r="G215" s="2386" t="str">
        <f>INDEX(PT_DIFFERENTIATION_NTAR,MATCH(B215,PT_DIFFERENTIATION_NTAR_ID,0))</f>
        <v/>
      </c>
      <c r="H215" s="1772"/>
      <c r="I215" s="1648"/>
      <c r="J215" s="1683"/>
      <c r="K215" s="1688"/>
      <c r="L215" s="1772" t="s">
        <v>295</v>
      </c>
      <c r="M215" s="267"/>
      <c r="N215" s="260"/>
      <c r="O215" s="1536"/>
      <c r="P215" s="1536"/>
    </row>
    <row r="216" spans="1:16" s="1908" customFormat="1" ht="18.75" hidden="1" customHeight="1">
      <c r="A216" s="1690"/>
      <c r="B216" s="1690"/>
      <c r="C216" s="297" t="s">
        <v>1058</v>
      </c>
      <c r="D216" s="2415"/>
      <c r="E216" s="2223"/>
      <c r="F216" s="2358"/>
      <c r="G216" s="2386"/>
      <c r="H216" s="1410"/>
      <c r="I216" s="572" t="s">
        <v>1057</v>
      </c>
      <c r="J216" s="496"/>
      <c r="K216" s="1410"/>
      <c r="L216" s="135"/>
      <c r="M216" s="267"/>
      <c r="N216" s="260"/>
      <c r="O216" s="1536"/>
      <c r="P216" s="1536"/>
    </row>
    <row r="217" spans="1:16" s="1908" customFormat="1" ht="0.75" hidden="1" customHeight="1">
      <c r="A217" s="1690"/>
      <c r="B217" s="1690"/>
      <c r="C217" s="297" t="s">
        <v>1065</v>
      </c>
      <c r="D217" s="2415"/>
      <c r="E217" s="2223"/>
      <c r="F217" s="2358"/>
      <c r="G217" s="334"/>
      <c r="H217" s="1410"/>
      <c r="I217" s="572"/>
      <c r="J217" s="496"/>
      <c r="K217" s="1410"/>
      <c r="L217" s="135"/>
      <c r="M217" s="267"/>
      <c r="N217" s="260"/>
      <c r="O217" s="1536"/>
      <c r="P217" s="1536"/>
    </row>
    <row r="218" spans="1:16" s="1908" customFormat="1" ht="18.75" hidden="1" customHeight="1">
      <c r="A218" s="1690" t="s">
        <v>190</v>
      </c>
      <c r="B218" s="1690" t="s">
        <v>191</v>
      </c>
      <c r="C218" s="297"/>
      <c r="D218" s="2415"/>
      <c r="E218" s="2223"/>
      <c r="F218" s="2358"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86" t="str">
        <f>INDEX(PT_DIFFERENTIATION_NTAR,MATCH(B218,PT_DIFFERENTIATION_NTAR_ID,0))</f>
        <v/>
      </c>
      <c r="H218" s="1772"/>
      <c r="I218" s="1648"/>
      <c r="J218" s="1683"/>
      <c r="K218" s="1688"/>
      <c r="L218" s="1772" t="s">
        <v>295</v>
      </c>
      <c r="M218" s="267"/>
      <c r="N218" s="260"/>
      <c r="O218" s="1536"/>
      <c r="P218" s="1536"/>
    </row>
    <row r="219" spans="1:16" s="1908" customFormat="1" ht="18.75" hidden="1" customHeight="1">
      <c r="A219" s="1690"/>
      <c r="B219" s="1690"/>
      <c r="C219" s="297" t="s">
        <v>1058</v>
      </c>
      <c r="D219" s="2415"/>
      <c r="E219" s="2223"/>
      <c r="F219" s="2358"/>
      <c r="G219" s="2386"/>
      <c r="H219" s="1410"/>
      <c r="I219" s="572" t="s">
        <v>1057</v>
      </c>
      <c r="J219" s="496"/>
      <c r="K219" s="1410"/>
      <c r="L219" s="135"/>
      <c r="M219" s="267"/>
      <c r="N219" s="260"/>
      <c r="O219" s="1536"/>
      <c r="P219" s="1536"/>
    </row>
    <row r="220" spans="1:16" s="1908" customFormat="1" ht="0.75" hidden="1" customHeight="1">
      <c r="A220" s="1690"/>
      <c r="B220" s="1690"/>
      <c r="C220" s="297" t="s">
        <v>1065</v>
      </c>
      <c r="D220" s="2415"/>
      <c r="E220" s="2223"/>
      <c r="F220" s="2358"/>
      <c r="G220" s="334"/>
      <c r="H220" s="1410"/>
      <c r="I220" s="572"/>
      <c r="J220" s="496"/>
      <c r="K220" s="1410"/>
      <c r="L220" s="135"/>
      <c r="M220" s="267"/>
      <c r="N220" s="260"/>
      <c r="O220" s="1536"/>
      <c r="P220" s="1536"/>
    </row>
    <row r="221" spans="1:16" s="1908" customFormat="1" ht="18.75" hidden="1" customHeight="1">
      <c r="A221" s="1690" t="s">
        <v>196</v>
      </c>
      <c r="B221" s="1690" t="s">
        <v>197</v>
      </c>
      <c r="C221" s="297"/>
      <c r="D221" s="2415"/>
      <c r="E221" s="2223"/>
      <c r="F221" s="2358" t="str">
        <f>INDEX(PT_DIFFERENTIATION_VTAR,MATCH(A221,PT_DIFFERENTIATION_VTAR_ID,0))</f>
        <v>Плата за подключение (технологическое присоединение) к системе теплоснабжения</v>
      </c>
      <c r="G221" s="2386" t="str">
        <f>INDEX(PT_DIFFERENTIATION_NTAR,MATCH(B221,PT_DIFFERENTIATION_NTAR_ID,0))</f>
        <v/>
      </c>
      <c r="H221" s="1772"/>
      <c r="I221" s="1648"/>
      <c r="J221" s="1683"/>
      <c r="K221" s="1688"/>
      <c r="L221" s="1772" t="s">
        <v>295</v>
      </c>
      <c r="M221" s="267"/>
      <c r="N221" s="260"/>
      <c r="O221" s="1536"/>
      <c r="P221" s="1536"/>
    </row>
    <row r="222" spans="1:16" s="1908" customFormat="1" ht="18.75" hidden="1" customHeight="1">
      <c r="A222" s="1690"/>
      <c r="B222" s="1690"/>
      <c r="C222" s="297" t="s">
        <v>1058</v>
      </c>
      <c r="D222" s="2415"/>
      <c r="E222" s="2223"/>
      <c r="F222" s="2358"/>
      <c r="G222" s="2386"/>
      <c r="H222" s="1410"/>
      <c r="I222" s="572" t="s">
        <v>1057</v>
      </c>
      <c r="J222" s="496"/>
      <c r="K222" s="1410"/>
      <c r="L222" s="135"/>
      <c r="M222" s="267"/>
      <c r="N222" s="260"/>
      <c r="O222" s="1536"/>
      <c r="P222" s="1536"/>
    </row>
    <row r="223" spans="1:16" s="1908" customFormat="1" ht="0.75" hidden="1" customHeight="1">
      <c r="A223" s="1690"/>
      <c r="B223" s="1690"/>
      <c r="C223" s="297" t="s">
        <v>1065</v>
      </c>
      <c r="D223" s="2415"/>
      <c r="E223" s="2223"/>
      <c r="F223" s="2358"/>
      <c r="G223" s="334"/>
      <c r="H223" s="1410"/>
      <c r="I223" s="572"/>
      <c r="J223" s="496"/>
      <c r="K223" s="1410"/>
      <c r="L223" s="135"/>
      <c r="M223" s="267"/>
      <c r="N223" s="260"/>
      <c r="O223" s="1536"/>
      <c r="P223" s="1536"/>
    </row>
    <row r="224" spans="1:16" s="1908" customFormat="1" ht="18.75" hidden="1" customHeight="1">
      <c r="A224" s="1690" t="s">
        <v>211</v>
      </c>
      <c r="B224" s="1690" t="s">
        <v>212</v>
      </c>
      <c r="C224" s="297"/>
      <c r="D224" s="2415"/>
      <c r="E224" s="2223"/>
      <c r="F224" s="2358" t="str">
        <f>INDEX(PT_DIFFERENTIATION_VTAR,MATCH(A224,PT_DIFFERENTIATION_VTAR_ID,0))</f>
        <v>Тариф на питьевую воду (питьевое водоснабжение)</v>
      </c>
      <c r="G224" s="2386" t="str">
        <f>INDEX(PT_DIFFERENTIATION_NTAR,MATCH(B224,PT_DIFFERENTIATION_NTAR_ID,0))</f>
        <v/>
      </c>
      <c r="H224" s="1772"/>
      <c r="I224" s="1648"/>
      <c r="J224" s="1683"/>
      <c r="K224" s="1688"/>
      <c r="L224" s="1772" t="s">
        <v>295</v>
      </c>
      <c r="M224" s="267"/>
      <c r="N224" s="260"/>
      <c r="O224" s="1536"/>
      <c r="P224" s="1536"/>
    </row>
    <row r="225" spans="1:16" s="1908" customFormat="1" ht="18.75" hidden="1" customHeight="1">
      <c r="A225" s="1690"/>
      <c r="B225" s="1690"/>
      <c r="C225" s="297" t="s">
        <v>1058</v>
      </c>
      <c r="D225" s="2415"/>
      <c r="E225" s="2223"/>
      <c r="F225" s="2358"/>
      <c r="G225" s="2386"/>
      <c r="H225" s="1410"/>
      <c r="I225" s="572" t="s">
        <v>1057</v>
      </c>
      <c r="J225" s="496"/>
      <c r="K225" s="1410"/>
      <c r="L225" s="135"/>
      <c r="M225" s="267"/>
      <c r="N225" s="260"/>
      <c r="O225" s="1536"/>
      <c r="P225" s="1536"/>
    </row>
    <row r="226" spans="1:16" s="1908" customFormat="1" ht="0.75" hidden="1" customHeight="1">
      <c r="A226" s="1690"/>
      <c r="B226" s="1690"/>
      <c r="C226" s="297" t="s">
        <v>1065</v>
      </c>
      <c r="D226" s="2415"/>
      <c r="E226" s="2223"/>
      <c r="F226" s="2358"/>
      <c r="G226" s="334"/>
      <c r="H226" s="1410"/>
      <c r="I226" s="572"/>
      <c r="J226" s="496"/>
      <c r="K226" s="1410"/>
      <c r="L226" s="135"/>
      <c r="M226" s="267"/>
      <c r="N226" s="260"/>
      <c r="O226" s="1536"/>
      <c r="P226" s="1536"/>
    </row>
    <row r="227" spans="1:16" s="1908" customFormat="1" ht="18.75" hidden="1" customHeight="1">
      <c r="A227" s="1690" t="s">
        <v>219</v>
      </c>
      <c r="B227" s="1690" t="s">
        <v>220</v>
      </c>
      <c r="C227" s="297"/>
      <c r="D227" s="2415"/>
      <c r="E227" s="2223"/>
      <c r="F227" s="2358" t="str">
        <f>INDEX(PT_DIFFERENTIATION_VTAR,MATCH(A227,PT_DIFFERENTIATION_VTAR_ID,0))</f>
        <v>Тариф на техническую воду</v>
      </c>
      <c r="G227" s="2386" t="str">
        <f>INDEX(PT_DIFFERENTIATION_NTAR,MATCH(B227,PT_DIFFERENTIATION_NTAR_ID,0))</f>
        <v/>
      </c>
      <c r="H227" s="1772"/>
      <c r="I227" s="1648"/>
      <c r="J227" s="1683"/>
      <c r="K227" s="1688"/>
      <c r="L227" s="1772" t="s">
        <v>295</v>
      </c>
      <c r="M227" s="267"/>
      <c r="N227" s="260"/>
      <c r="O227" s="1536"/>
      <c r="P227" s="1536"/>
    </row>
    <row r="228" spans="1:16" s="1908" customFormat="1" ht="18.75" hidden="1" customHeight="1">
      <c r="A228" s="1690"/>
      <c r="B228" s="1690"/>
      <c r="C228" s="297" t="s">
        <v>1058</v>
      </c>
      <c r="D228" s="2415"/>
      <c r="E228" s="2223"/>
      <c r="F228" s="2358"/>
      <c r="G228" s="2386"/>
      <c r="H228" s="1410"/>
      <c r="I228" s="572" t="s">
        <v>1057</v>
      </c>
      <c r="J228" s="496"/>
      <c r="K228" s="1410"/>
      <c r="L228" s="135"/>
      <c r="M228" s="267"/>
      <c r="N228" s="260"/>
      <c r="O228" s="1536"/>
      <c r="P228" s="1536"/>
    </row>
    <row r="229" spans="1:16" s="1908" customFormat="1" ht="0.75" hidden="1" customHeight="1">
      <c r="A229" s="1690"/>
      <c r="B229" s="1690"/>
      <c r="C229" s="297" t="s">
        <v>1065</v>
      </c>
      <c r="D229" s="2415"/>
      <c r="E229" s="2223"/>
      <c r="F229" s="2358"/>
      <c r="G229" s="334"/>
      <c r="H229" s="1410"/>
      <c r="I229" s="572"/>
      <c r="J229" s="496"/>
      <c r="K229" s="1410"/>
      <c r="L229" s="135"/>
      <c r="M229" s="267"/>
      <c r="N229" s="260"/>
      <c r="O229" s="1536"/>
      <c r="P229" s="1536"/>
    </row>
    <row r="230" spans="1:16" s="1908" customFormat="1" ht="18.75" hidden="1" customHeight="1">
      <c r="A230" s="1690" t="s">
        <v>224</v>
      </c>
      <c r="B230" s="1690" t="s">
        <v>225</v>
      </c>
      <c r="C230" s="297"/>
      <c r="D230" s="2415"/>
      <c r="E230" s="2223"/>
      <c r="F230" s="2358" t="str">
        <f>INDEX(PT_DIFFERENTIATION_VTAR,MATCH(A230,PT_DIFFERENTIATION_VTAR_ID,0))</f>
        <v>Тариф на транспортировку воды</v>
      </c>
      <c r="G230" s="2386" t="str">
        <f>INDEX(PT_DIFFERENTIATION_NTAR,MATCH(B230,PT_DIFFERENTIATION_NTAR_ID,0))</f>
        <v/>
      </c>
      <c r="H230" s="1772"/>
      <c r="I230" s="1648"/>
      <c r="J230" s="1683"/>
      <c r="K230" s="1688"/>
      <c r="L230" s="1772" t="s">
        <v>295</v>
      </c>
      <c r="M230" s="267"/>
      <c r="N230" s="260"/>
      <c r="O230" s="1536"/>
      <c r="P230" s="1536"/>
    </row>
    <row r="231" spans="1:16" s="1908" customFormat="1" ht="18.75" hidden="1" customHeight="1">
      <c r="A231" s="1690"/>
      <c r="B231" s="1690"/>
      <c r="C231" s="297" t="s">
        <v>1058</v>
      </c>
      <c r="D231" s="2415"/>
      <c r="E231" s="2223"/>
      <c r="F231" s="2358"/>
      <c r="G231" s="2386"/>
      <c r="H231" s="1410"/>
      <c r="I231" s="572" t="s">
        <v>1057</v>
      </c>
      <c r="J231" s="496"/>
      <c r="K231" s="1410"/>
      <c r="L231" s="135"/>
      <c r="M231" s="267"/>
      <c r="N231" s="260"/>
      <c r="O231" s="1536"/>
      <c r="P231" s="1536"/>
    </row>
    <row r="232" spans="1:16" s="1908" customFormat="1" ht="0.75" hidden="1" customHeight="1">
      <c r="A232" s="1690"/>
      <c r="B232" s="1690"/>
      <c r="C232" s="297" t="s">
        <v>1065</v>
      </c>
      <c r="D232" s="2415"/>
      <c r="E232" s="2223"/>
      <c r="F232" s="2358"/>
      <c r="G232" s="334"/>
      <c r="H232" s="1410"/>
      <c r="I232" s="572"/>
      <c r="J232" s="496"/>
      <c r="K232" s="1410"/>
      <c r="L232" s="135"/>
      <c r="M232" s="267"/>
      <c r="N232" s="260"/>
      <c r="O232" s="1536"/>
      <c r="P232" s="1536"/>
    </row>
    <row r="233" spans="1:16" s="1908" customFormat="1" ht="18.75" hidden="1" customHeight="1">
      <c r="A233" s="1690" t="s">
        <v>229</v>
      </c>
      <c r="B233" s="1690" t="s">
        <v>230</v>
      </c>
      <c r="C233" s="297"/>
      <c r="D233" s="2415"/>
      <c r="E233" s="2223"/>
      <c r="F233" s="2358" t="str">
        <f>INDEX(PT_DIFFERENTIATION_VTAR,MATCH(A233,PT_DIFFERENTIATION_VTAR_ID,0))</f>
        <v>Тариф на подвоз воды</v>
      </c>
      <c r="G233" s="2386" t="str">
        <f>INDEX(PT_DIFFERENTIATION_NTAR,MATCH(B233,PT_DIFFERENTIATION_NTAR_ID,0))</f>
        <v/>
      </c>
      <c r="H233" s="1772"/>
      <c r="I233" s="1648"/>
      <c r="J233" s="1683"/>
      <c r="K233" s="1688"/>
      <c r="L233" s="1772" t="s">
        <v>295</v>
      </c>
      <c r="M233" s="267"/>
      <c r="N233" s="260"/>
      <c r="O233" s="1536"/>
      <c r="P233" s="1536"/>
    </row>
    <row r="234" spans="1:16" s="1908" customFormat="1" ht="18.75" hidden="1" customHeight="1">
      <c r="A234" s="1690"/>
      <c r="B234" s="1690"/>
      <c r="C234" s="297" t="s">
        <v>1058</v>
      </c>
      <c r="D234" s="2415"/>
      <c r="E234" s="2223"/>
      <c r="F234" s="2358"/>
      <c r="G234" s="2386"/>
      <c r="H234" s="1410"/>
      <c r="I234" s="572" t="s">
        <v>1057</v>
      </c>
      <c r="J234" s="496"/>
      <c r="K234" s="1410"/>
      <c r="L234" s="135"/>
      <c r="M234" s="267"/>
      <c r="N234" s="260"/>
      <c r="O234" s="1536"/>
      <c r="P234" s="1536"/>
    </row>
    <row r="235" spans="1:16" s="1908" customFormat="1" ht="0.75" hidden="1" customHeight="1">
      <c r="A235" s="1690"/>
      <c r="B235" s="1690"/>
      <c r="C235" s="297" t="s">
        <v>1065</v>
      </c>
      <c r="D235" s="2415"/>
      <c r="E235" s="2223"/>
      <c r="F235" s="2358"/>
      <c r="G235" s="334"/>
      <c r="H235" s="1410"/>
      <c r="I235" s="572"/>
      <c r="J235" s="496"/>
      <c r="K235" s="1410"/>
      <c r="L235" s="135"/>
      <c r="M235" s="267"/>
      <c r="N235" s="260"/>
      <c r="O235" s="1536"/>
      <c r="P235" s="1536"/>
    </row>
    <row r="236" spans="1:16" s="1908" customFormat="1" ht="18.75" hidden="1" customHeight="1">
      <c r="A236" s="1690" t="s">
        <v>234</v>
      </c>
      <c r="B236" s="1690" t="s">
        <v>235</v>
      </c>
      <c r="C236" s="297"/>
      <c r="D236" s="2415"/>
      <c r="E236" s="2223"/>
      <c r="F236" s="2358"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386" t="str">
        <f>INDEX(PT_DIFFERENTIATION_NTAR,MATCH(B236,PT_DIFFERENTIATION_NTAR_ID,0))</f>
        <v/>
      </c>
      <c r="H236" s="1772"/>
      <c r="I236" s="1648"/>
      <c r="J236" s="1683"/>
      <c r="K236" s="1688"/>
      <c r="L236" s="1772" t="s">
        <v>295</v>
      </c>
      <c r="M236" s="267"/>
      <c r="N236" s="260"/>
      <c r="O236" s="1536"/>
      <c r="P236" s="1536"/>
    </row>
    <row r="237" spans="1:16" s="1908" customFormat="1" ht="18.75" hidden="1" customHeight="1">
      <c r="A237" s="1690"/>
      <c r="B237" s="1690"/>
      <c r="C237" s="297" t="s">
        <v>1058</v>
      </c>
      <c r="D237" s="2415"/>
      <c r="E237" s="2223"/>
      <c r="F237" s="2358"/>
      <c r="G237" s="2386"/>
      <c r="H237" s="1410"/>
      <c r="I237" s="572" t="s">
        <v>1057</v>
      </c>
      <c r="J237" s="496"/>
      <c r="K237" s="1410"/>
      <c r="L237" s="135"/>
      <c r="M237" s="267"/>
      <c r="N237" s="260"/>
      <c r="O237" s="1536"/>
      <c r="P237" s="1536"/>
    </row>
    <row r="238" spans="1:16" s="1908" customFormat="1" ht="0.75" hidden="1" customHeight="1">
      <c r="A238" s="1690"/>
      <c r="B238" s="1690"/>
      <c r="C238" s="297" t="s">
        <v>1065</v>
      </c>
      <c r="D238" s="2415"/>
      <c r="E238" s="2223"/>
      <c r="F238" s="2358"/>
      <c r="G238" s="334"/>
      <c r="H238" s="1410"/>
      <c r="I238" s="572"/>
      <c r="J238" s="496"/>
      <c r="K238" s="1410"/>
      <c r="L238" s="135"/>
      <c r="M238" s="267"/>
      <c r="N238" s="260"/>
      <c r="O238" s="1536"/>
      <c r="P238" s="1536"/>
    </row>
    <row r="239" spans="1:16" s="1908" customFormat="1" ht="18.75" hidden="1" customHeight="1">
      <c r="A239" s="1690" t="s">
        <v>239</v>
      </c>
      <c r="B239" s="1690" t="s">
        <v>240</v>
      </c>
      <c r="C239" s="297"/>
      <c r="D239" s="2415"/>
      <c r="E239" s="2223"/>
      <c r="F239" s="2358" t="str">
        <f>INDEX(PT_DIFFERENTIATION_VTAR,MATCH(A239,PT_DIFFERENTIATION_VTAR_ID,0))</f>
        <v>Тариф на горячую воду (горячее водоснабжение)</v>
      </c>
      <c r="G239" s="2386" t="str">
        <f>INDEX(PT_DIFFERENTIATION_NTAR,MATCH(B239,PT_DIFFERENTIATION_NTAR_ID,0))</f>
        <v/>
      </c>
      <c r="H239" s="1772"/>
      <c r="I239" s="1648"/>
      <c r="J239" s="1683"/>
      <c r="K239" s="1688"/>
      <c r="L239" s="1772" t="s">
        <v>295</v>
      </c>
      <c r="M239" s="267"/>
      <c r="N239" s="260"/>
      <c r="O239" s="1536"/>
      <c r="P239" s="1536"/>
    </row>
    <row r="240" spans="1:16" s="1908" customFormat="1" ht="18.75" hidden="1" customHeight="1">
      <c r="A240" s="1690"/>
      <c r="B240" s="1690"/>
      <c r="C240" s="297" t="s">
        <v>1058</v>
      </c>
      <c r="D240" s="2415"/>
      <c r="E240" s="2223"/>
      <c r="F240" s="2358"/>
      <c r="G240" s="2386"/>
      <c r="H240" s="1410"/>
      <c r="I240" s="572" t="s">
        <v>1057</v>
      </c>
      <c r="J240" s="496"/>
      <c r="K240" s="1410"/>
      <c r="L240" s="135"/>
      <c r="M240" s="267"/>
      <c r="N240" s="260"/>
      <c r="O240" s="1536"/>
      <c r="P240" s="1536"/>
    </row>
    <row r="241" spans="1:16" s="1908" customFormat="1" ht="0.75" hidden="1" customHeight="1">
      <c r="A241" s="1690"/>
      <c r="B241" s="1690"/>
      <c r="C241" s="297" t="s">
        <v>1065</v>
      </c>
      <c r="D241" s="2415"/>
      <c r="E241" s="2223"/>
      <c r="F241" s="2358"/>
      <c r="G241" s="334"/>
      <c r="H241" s="1410"/>
      <c r="I241" s="572"/>
      <c r="J241" s="496"/>
      <c r="K241" s="1410"/>
      <c r="L241" s="135"/>
      <c r="M241" s="267"/>
      <c r="N241" s="260"/>
      <c r="O241" s="1536"/>
      <c r="P241" s="1536"/>
    </row>
    <row r="242" spans="1:16" s="1908" customFormat="1" ht="18.75" hidden="1" customHeight="1">
      <c r="A242" s="1690" t="s">
        <v>244</v>
      </c>
      <c r="B242" s="1690" t="s">
        <v>245</v>
      </c>
      <c r="C242" s="297"/>
      <c r="D242" s="2415"/>
      <c r="E242" s="2223"/>
      <c r="F242" s="2358" t="str">
        <f>INDEX(PT_DIFFERENTIATION_VTAR,MATCH(A242,PT_DIFFERENTIATION_VTAR_ID,0))</f>
        <v>Тариф на транспортировку горячей воды</v>
      </c>
      <c r="G242" s="2386" t="str">
        <f>INDEX(PT_DIFFERENTIATION_NTAR,MATCH(B242,PT_DIFFERENTIATION_NTAR_ID,0))</f>
        <v/>
      </c>
      <c r="H242" s="1772"/>
      <c r="I242" s="1648"/>
      <c r="J242" s="1683"/>
      <c r="K242" s="1688"/>
      <c r="L242" s="1772" t="s">
        <v>295</v>
      </c>
      <c r="M242" s="267"/>
      <c r="N242" s="260"/>
      <c r="O242" s="1536"/>
      <c r="P242" s="1536"/>
    </row>
    <row r="243" spans="1:16" s="1908" customFormat="1" ht="18.75" hidden="1" customHeight="1">
      <c r="A243" s="1690"/>
      <c r="B243" s="1690"/>
      <c r="C243" s="297" t="s">
        <v>1058</v>
      </c>
      <c r="D243" s="2415"/>
      <c r="E243" s="2223"/>
      <c r="F243" s="2358"/>
      <c r="G243" s="2386"/>
      <c r="H243" s="1410"/>
      <c r="I243" s="572" t="s">
        <v>1057</v>
      </c>
      <c r="J243" s="496"/>
      <c r="K243" s="1410"/>
      <c r="L243" s="135"/>
      <c r="M243" s="267"/>
      <c r="N243" s="260"/>
      <c r="O243" s="1536"/>
      <c r="P243" s="1536"/>
    </row>
    <row r="244" spans="1:16" s="1908" customFormat="1" ht="0.75" hidden="1" customHeight="1">
      <c r="A244" s="1690"/>
      <c r="B244" s="1690"/>
      <c r="C244" s="297" t="s">
        <v>1065</v>
      </c>
      <c r="D244" s="2415"/>
      <c r="E244" s="2223"/>
      <c r="F244" s="2358"/>
      <c r="G244" s="334"/>
      <c r="H244" s="1410"/>
      <c r="I244" s="572"/>
      <c r="J244" s="496"/>
      <c r="K244" s="1410"/>
      <c r="L244" s="135"/>
      <c r="M244" s="267"/>
      <c r="N244" s="260"/>
      <c r="O244" s="1536"/>
      <c r="P244" s="1536"/>
    </row>
    <row r="245" spans="1:16" s="1908" customFormat="1" ht="18.75" hidden="1" customHeight="1">
      <c r="A245" s="1690" t="s">
        <v>249</v>
      </c>
      <c r="B245" s="1690" t="s">
        <v>250</v>
      </c>
      <c r="C245" s="297"/>
      <c r="D245" s="2415"/>
      <c r="E245" s="2223"/>
      <c r="F245" s="2358" t="str">
        <f>INDEX(PT_DIFFERENTIATION_VTAR,MATCH(A245,PT_DIFFERENTIATION_VTAR_ID,0))</f>
        <v>Тариф на подключение (технологическое присоединение) к централизованной системе горячего водоснабжения</v>
      </c>
      <c r="G245" s="2386" t="str">
        <f>INDEX(PT_DIFFERENTIATION_NTAR,MATCH(B245,PT_DIFFERENTIATION_NTAR_ID,0))</f>
        <v/>
      </c>
      <c r="H245" s="1772"/>
      <c r="I245" s="1648"/>
      <c r="J245" s="1683"/>
      <c r="K245" s="1688"/>
      <c r="L245" s="1772" t="s">
        <v>295</v>
      </c>
      <c r="M245" s="267"/>
      <c r="N245" s="260"/>
      <c r="O245" s="1536"/>
      <c r="P245" s="1536"/>
    </row>
    <row r="246" spans="1:16" s="1908" customFormat="1" ht="18.75" hidden="1" customHeight="1">
      <c r="A246" s="1690"/>
      <c r="B246" s="1690"/>
      <c r="C246" s="297" t="s">
        <v>1058</v>
      </c>
      <c r="D246" s="2415"/>
      <c r="E246" s="2223"/>
      <c r="F246" s="2358"/>
      <c r="G246" s="2386"/>
      <c r="H246" s="1410"/>
      <c r="I246" s="572" t="s">
        <v>1057</v>
      </c>
      <c r="J246" s="496"/>
      <c r="K246" s="1410"/>
      <c r="L246" s="135"/>
      <c r="M246" s="267"/>
      <c r="N246" s="260"/>
      <c r="O246" s="1536"/>
      <c r="P246" s="1536"/>
    </row>
    <row r="247" spans="1:16" s="1908" customFormat="1" ht="0.75" hidden="1" customHeight="1">
      <c r="A247" s="1690"/>
      <c r="B247" s="1690"/>
      <c r="C247" s="297" t="s">
        <v>1065</v>
      </c>
      <c r="D247" s="2415"/>
      <c r="E247" s="2223"/>
      <c r="F247" s="2358"/>
      <c r="G247" s="334"/>
      <c r="H247" s="1410"/>
      <c r="I247" s="572"/>
      <c r="J247" s="496"/>
      <c r="K247" s="1410"/>
      <c r="L247" s="135"/>
      <c r="M247" s="267"/>
      <c r="N247" s="260"/>
      <c r="O247" s="1536"/>
      <c r="P247" s="1536"/>
    </row>
    <row r="248" spans="1:16" s="1908" customFormat="1" ht="18.75" hidden="1" customHeight="1">
      <c r="A248" s="1690" t="s">
        <v>254</v>
      </c>
      <c r="B248" s="1690" t="s">
        <v>255</v>
      </c>
      <c r="C248" s="297"/>
      <c r="D248" s="2415"/>
      <c r="E248" s="2223"/>
      <c r="F248" s="2358" t="str">
        <f>INDEX(PT_DIFFERENTIATION_VTAR,MATCH(A248,PT_DIFFERENTIATION_VTAR_ID,0))</f>
        <v>Тариф на водоотведение</v>
      </c>
      <c r="G248" s="2386" t="str">
        <f>INDEX(PT_DIFFERENTIATION_NTAR,MATCH(B248,PT_DIFFERENTIATION_NTAR_ID,0))</f>
        <v/>
      </c>
      <c r="H248" s="1772"/>
      <c r="I248" s="1648"/>
      <c r="J248" s="1683"/>
      <c r="K248" s="1688"/>
      <c r="L248" s="1772" t="s">
        <v>295</v>
      </c>
      <c r="M248" s="267"/>
      <c r="N248" s="260"/>
      <c r="O248" s="1536"/>
      <c r="P248" s="1536"/>
    </row>
    <row r="249" spans="1:16" s="1908" customFormat="1" ht="18.75" hidden="1" customHeight="1">
      <c r="A249" s="1690"/>
      <c r="B249" s="1690"/>
      <c r="C249" s="297" t="s">
        <v>1058</v>
      </c>
      <c r="D249" s="2415"/>
      <c r="E249" s="2223"/>
      <c r="F249" s="2358"/>
      <c r="G249" s="2386"/>
      <c r="H249" s="1410"/>
      <c r="I249" s="572" t="s">
        <v>1057</v>
      </c>
      <c r="J249" s="496"/>
      <c r="K249" s="1410"/>
      <c r="L249" s="135"/>
      <c r="M249" s="267"/>
      <c r="N249" s="260"/>
      <c r="O249" s="1536"/>
      <c r="P249" s="1536"/>
    </row>
    <row r="250" spans="1:16" s="1908" customFormat="1" ht="0.75" hidden="1" customHeight="1">
      <c r="A250" s="1690"/>
      <c r="B250" s="1690"/>
      <c r="C250" s="297" t="s">
        <v>1065</v>
      </c>
      <c r="D250" s="2415"/>
      <c r="E250" s="2223"/>
      <c r="F250" s="2358"/>
      <c r="G250" s="334"/>
      <c r="H250" s="1410"/>
      <c r="I250" s="572"/>
      <c r="J250" s="496"/>
      <c r="K250" s="1410"/>
      <c r="L250" s="135"/>
      <c r="M250" s="267"/>
      <c r="N250" s="260"/>
      <c r="O250" s="1536"/>
      <c r="P250" s="1536"/>
    </row>
    <row r="251" spans="1:16" s="1908" customFormat="1" ht="18.75" hidden="1" customHeight="1">
      <c r="A251" s="1690" t="s">
        <v>259</v>
      </c>
      <c r="B251" s="1690" t="s">
        <v>260</v>
      </c>
      <c r="C251" s="297"/>
      <c r="D251" s="2415"/>
      <c r="E251" s="2223"/>
      <c r="F251" s="2358" t="str">
        <f>INDEX(PT_DIFFERENTIATION_VTAR,MATCH(A251,PT_DIFFERENTIATION_VTAR_ID,0))</f>
        <v>Тариф на транспортировку сточных вод</v>
      </c>
      <c r="G251" s="2386" t="str">
        <f>INDEX(PT_DIFFERENTIATION_NTAR,MATCH(B251,PT_DIFFERENTIATION_NTAR_ID,0))</f>
        <v/>
      </c>
      <c r="H251" s="1772"/>
      <c r="I251" s="1648"/>
      <c r="J251" s="1683"/>
      <c r="K251" s="1688"/>
      <c r="L251" s="1772" t="s">
        <v>295</v>
      </c>
      <c r="M251" s="267"/>
      <c r="N251" s="260"/>
      <c r="O251" s="1536"/>
      <c r="P251" s="1536"/>
    </row>
    <row r="252" spans="1:16" s="1908" customFormat="1" ht="18.75" hidden="1" customHeight="1">
      <c r="A252" s="1690"/>
      <c r="B252" s="1690"/>
      <c r="C252" s="297" t="s">
        <v>1058</v>
      </c>
      <c r="D252" s="2415"/>
      <c r="E252" s="2223"/>
      <c r="F252" s="2358"/>
      <c r="G252" s="2386"/>
      <c r="H252" s="1410"/>
      <c r="I252" s="572" t="s">
        <v>1057</v>
      </c>
      <c r="J252" s="496"/>
      <c r="K252" s="1410"/>
      <c r="L252" s="135"/>
      <c r="M252" s="267"/>
      <c r="N252" s="260"/>
      <c r="O252" s="1536"/>
      <c r="P252" s="1536"/>
    </row>
    <row r="253" spans="1:16" s="1908" customFormat="1" ht="0.75" hidden="1" customHeight="1">
      <c r="A253" s="1690"/>
      <c r="B253" s="1690"/>
      <c r="C253" s="297" t="s">
        <v>1065</v>
      </c>
      <c r="D253" s="2415"/>
      <c r="E253" s="2223"/>
      <c r="F253" s="2358"/>
      <c r="G253" s="334"/>
      <c r="H253" s="1410"/>
      <c r="I253" s="572"/>
      <c r="J253" s="496"/>
      <c r="K253" s="1410"/>
      <c r="L253" s="135"/>
      <c r="M253" s="267"/>
      <c r="N253" s="260"/>
      <c r="O253" s="1536"/>
      <c r="P253" s="1536"/>
    </row>
    <row r="254" spans="1:16" s="1908" customFormat="1" ht="18.75" hidden="1" customHeight="1">
      <c r="A254" s="1690" t="s">
        <v>264</v>
      </c>
      <c r="B254" s="1690" t="s">
        <v>265</v>
      </c>
      <c r="C254" s="297"/>
      <c r="D254" s="2415"/>
      <c r="E254" s="2223"/>
      <c r="F254" s="2358" t="str">
        <f>INDEX(PT_DIFFERENTIATION_VTAR,MATCH(A254,PT_DIFFERENTIATION_VTAR_ID,0))</f>
        <v>Тариф на подключение (технологическое присоединение) к централизованной системе водоотведения</v>
      </c>
      <c r="G254" s="2386" t="str">
        <f>INDEX(PT_DIFFERENTIATION_NTAR,MATCH(B254,PT_DIFFERENTIATION_NTAR_ID,0))</f>
        <v/>
      </c>
      <c r="H254" s="1772"/>
      <c r="I254" s="1648"/>
      <c r="J254" s="1683"/>
      <c r="K254" s="1688"/>
      <c r="L254" s="1772" t="s">
        <v>295</v>
      </c>
      <c r="M254" s="267"/>
      <c r="N254" s="260"/>
      <c r="O254" s="1536"/>
      <c r="P254" s="1536"/>
    </row>
    <row r="255" spans="1:16" s="1908" customFormat="1" ht="18.75" hidden="1" customHeight="1">
      <c r="A255" s="1690"/>
      <c r="B255" s="1690"/>
      <c r="C255" s="297" t="s">
        <v>1058</v>
      </c>
      <c r="D255" s="2415"/>
      <c r="E255" s="2223"/>
      <c r="F255" s="2358"/>
      <c r="G255" s="2386"/>
      <c r="H255" s="1410"/>
      <c r="I255" s="572" t="s">
        <v>1057</v>
      </c>
      <c r="J255" s="496"/>
      <c r="K255" s="1410"/>
      <c r="L255" s="135"/>
      <c r="M255" s="267"/>
      <c r="N255" s="260"/>
      <c r="O255" s="1536"/>
      <c r="P255" s="1536"/>
    </row>
    <row r="256" spans="1:16" s="1908" customFormat="1" ht="0.75" customHeight="1">
      <c r="A256" s="1690"/>
      <c r="B256" s="1690"/>
      <c r="C256" s="297" t="s">
        <v>1065</v>
      </c>
      <c r="D256" s="2415"/>
      <c r="E256" s="2223"/>
      <c r="F256" s="2358"/>
      <c r="G256" s="334"/>
      <c r="H256" s="1410"/>
      <c r="I256" s="572"/>
      <c r="J256" s="496"/>
      <c r="K256" s="1410"/>
      <c r="L256" s="135"/>
      <c r="M256" s="267"/>
      <c r="N256" s="260"/>
      <c r="O256" s="1536"/>
      <c r="P256" s="1536"/>
    </row>
    <row r="257" spans="1:16" ht="25.5" customHeight="1">
      <c r="A257" s="1690"/>
      <c r="B257" s="1690"/>
      <c r="D257" s="305"/>
      <c r="E257" s="71" t="s">
        <v>91</v>
      </c>
      <c r="F257" s="241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414"/>
      <c r="H257" s="2414"/>
      <c r="I257" s="2414"/>
      <c r="J257" s="2414"/>
      <c r="K257" s="2414"/>
      <c r="L257" s="2414"/>
      <c r="M257" s="215"/>
      <c r="N257" s="260"/>
    </row>
    <row r="258" spans="1:16" s="1908" customFormat="1" ht="60.75" hidden="1" customHeight="1">
      <c r="A258" s="1690" t="s">
        <v>154</v>
      </c>
      <c r="B258" s="1690" t="s">
        <v>155</v>
      </c>
      <c r="C258" s="297"/>
      <c r="D258" s="2415"/>
      <c r="E258" s="2223"/>
      <c r="F258" s="2358"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86" t="str">
        <f>INDEX(PT_DIFFERENTIATION_NTAR,MATCH(B258,PT_DIFFERENTIATION_NTAR_ID,0))</f>
        <v/>
      </c>
      <c r="H258" s="1772"/>
      <c r="I258" s="1648"/>
      <c r="J258" s="1683"/>
      <c r="K258" s="1688"/>
      <c r="L258" s="1772" t="s">
        <v>295</v>
      </c>
      <c r="M258" s="21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60"/>
      <c r="O258" s="1536"/>
      <c r="P258" s="1536"/>
    </row>
    <row r="259" spans="1:16" s="1908" customFormat="1" ht="18.75" hidden="1" customHeight="1">
      <c r="A259" s="1690"/>
      <c r="B259" s="1690"/>
      <c r="C259" s="297" t="s">
        <v>1058</v>
      </c>
      <c r="D259" s="2415"/>
      <c r="E259" s="2223"/>
      <c r="F259" s="2358"/>
      <c r="G259" s="2386"/>
      <c r="H259" s="1410"/>
      <c r="I259" s="572" t="s">
        <v>1057</v>
      </c>
      <c r="J259" s="496"/>
      <c r="K259" s="1410"/>
      <c r="L259" s="135"/>
      <c r="M259" s="2186"/>
      <c r="N259" s="260"/>
      <c r="O259" s="1536"/>
      <c r="P259" s="1536"/>
    </row>
    <row r="260" spans="1:16" s="1908" customFormat="1" ht="0.75" hidden="1" customHeight="1">
      <c r="A260" s="1690"/>
      <c r="B260" s="1690"/>
      <c r="C260" s="297" t="s">
        <v>1065</v>
      </c>
      <c r="D260" s="2415"/>
      <c r="E260" s="2223"/>
      <c r="F260" s="2358"/>
      <c r="G260" s="334"/>
      <c r="H260" s="1410"/>
      <c r="I260" s="572"/>
      <c r="J260" s="496"/>
      <c r="K260" s="1410"/>
      <c r="L260" s="135"/>
      <c r="M260" s="2186"/>
      <c r="N260" s="260"/>
      <c r="O260" s="1536"/>
      <c r="P260" s="1536"/>
    </row>
    <row r="261" spans="1:16" s="1908" customFormat="1" ht="45" hidden="1" customHeight="1">
      <c r="A261" s="1690" t="s">
        <v>160</v>
      </c>
      <c r="B261" s="1690" t="s">
        <v>161</v>
      </c>
      <c r="C261" s="297"/>
      <c r="D261" s="2415"/>
      <c r="E261" s="2223"/>
      <c r="F261" s="2358"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86" t="str">
        <f>INDEX(PT_DIFFERENTIATION_NTAR,MATCH(B261,PT_DIFFERENTIATION_NTAR_ID,0))</f>
        <v/>
      </c>
      <c r="H261" s="1772"/>
      <c r="I261" s="1648"/>
      <c r="J261" s="1683"/>
      <c r="K261" s="1688"/>
      <c r="L261" s="1772" t="s">
        <v>295</v>
      </c>
      <c r="M261" s="2187"/>
      <c r="N261" s="260"/>
      <c r="O261" s="1536"/>
      <c r="P261" s="1536"/>
    </row>
    <row r="262" spans="1:16" s="1908" customFormat="1" ht="18.75" hidden="1" customHeight="1">
      <c r="A262" s="1690"/>
      <c r="B262" s="1690"/>
      <c r="C262" s="297" t="s">
        <v>1058</v>
      </c>
      <c r="D262" s="2415"/>
      <c r="E262" s="2223"/>
      <c r="F262" s="2358"/>
      <c r="G262" s="2386"/>
      <c r="H262" s="1410"/>
      <c r="I262" s="572" t="s">
        <v>1057</v>
      </c>
      <c r="J262" s="496"/>
      <c r="K262" s="1410"/>
      <c r="L262" s="135"/>
      <c r="M262" s="1771"/>
      <c r="N262" s="260"/>
      <c r="O262" s="1536"/>
      <c r="P262" s="1536"/>
    </row>
    <row r="263" spans="1:16" s="1908" customFormat="1" ht="0.75" hidden="1" customHeight="1">
      <c r="A263" s="1690"/>
      <c r="B263" s="1690"/>
      <c r="C263" s="297" t="s">
        <v>1065</v>
      </c>
      <c r="D263" s="2415"/>
      <c r="E263" s="2223"/>
      <c r="F263" s="2358"/>
      <c r="G263" s="334"/>
      <c r="H263" s="1410"/>
      <c r="I263" s="572"/>
      <c r="J263" s="496"/>
      <c r="K263" s="1410"/>
      <c r="L263" s="135"/>
      <c r="M263" s="267"/>
      <c r="N263" s="260"/>
      <c r="O263" s="1536"/>
      <c r="P263" s="1536"/>
    </row>
    <row r="264" spans="1:16" s="1908" customFormat="1" ht="45" hidden="1" customHeight="1">
      <c r="A264" s="1690" t="s">
        <v>166</v>
      </c>
      <c r="B264" s="1690" t="s">
        <v>167</v>
      </c>
      <c r="C264" s="297"/>
      <c r="D264" s="2415"/>
      <c r="E264" s="2223"/>
      <c r="F264" s="2358"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86" t="str">
        <f>INDEX(PT_DIFFERENTIATION_NTAR,MATCH(B264,PT_DIFFERENTIATION_NTAR_ID,0))</f>
        <v/>
      </c>
      <c r="H264" s="1772"/>
      <c r="I264" s="1648"/>
      <c r="J264" s="1683"/>
      <c r="K264" s="1688"/>
      <c r="L264" s="1772" t="s">
        <v>295</v>
      </c>
      <c r="M264" s="267"/>
      <c r="N264" s="260"/>
      <c r="O264" s="1536"/>
      <c r="P264" s="1536"/>
    </row>
    <row r="265" spans="1:16" s="1908" customFormat="1" ht="18.75" hidden="1" customHeight="1">
      <c r="A265" s="1690"/>
      <c r="B265" s="1690"/>
      <c r="C265" s="297" t="s">
        <v>1058</v>
      </c>
      <c r="D265" s="2415"/>
      <c r="E265" s="2223"/>
      <c r="F265" s="2358"/>
      <c r="G265" s="2386"/>
      <c r="H265" s="1410"/>
      <c r="I265" s="572" t="s">
        <v>1057</v>
      </c>
      <c r="J265" s="496"/>
      <c r="K265" s="1410"/>
      <c r="L265" s="135"/>
      <c r="M265" s="267"/>
      <c r="N265" s="260"/>
      <c r="O265" s="1536"/>
      <c r="P265" s="1536"/>
    </row>
    <row r="266" spans="1:16" s="1908" customFormat="1" ht="0.75" hidden="1" customHeight="1">
      <c r="A266" s="1690"/>
      <c r="B266" s="1690"/>
      <c r="C266" s="297" t="s">
        <v>1065</v>
      </c>
      <c r="D266" s="2415"/>
      <c r="E266" s="2223"/>
      <c r="F266" s="2358"/>
      <c r="G266" s="334"/>
      <c r="H266" s="1410"/>
      <c r="I266" s="572"/>
      <c r="J266" s="496"/>
      <c r="K266" s="1410"/>
      <c r="L266" s="135"/>
      <c r="M266" s="267"/>
      <c r="N266" s="260"/>
      <c r="O266" s="1536"/>
      <c r="P266" s="1536"/>
    </row>
    <row r="267" spans="1:16" s="1908" customFormat="1" ht="45" hidden="1" customHeight="1">
      <c r="A267" s="1690" t="s">
        <v>172</v>
      </c>
      <c r="B267" s="1690" t="s">
        <v>173</v>
      </c>
      <c r="C267" s="297"/>
      <c r="D267" s="2415"/>
      <c r="E267" s="2223"/>
      <c r="F267" s="2358"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86" t="str">
        <f>INDEX(PT_DIFFERENTIATION_NTAR,MATCH(B267,PT_DIFFERENTIATION_NTAR_ID,0))</f>
        <v/>
      </c>
      <c r="H267" s="1772"/>
      <c r="I267" s="1648"/>
      <c r="J267" s="1683"/>
      <c r="K267" s="1688"/>
      <c r="L267" s="1772" t="s">
        <v>295</v>
      </c>
      <c r="M267" s="267"/>
      <c r="N267" s="260"/>
      <c r="O267" s="1536"/>
      <c r="P267" s="1536"/>
    </row>
    <row r="268" spans="1:16" s="1908" customFormat="1" ht="18.75" hidden="1" customHeight="1">
      <c r="A268" s="1690"/>
      <c r="B268" s="1690"/>
      <c r="C268" s="297" t="s">
        <v>1058</v>
      </c>
      <c r="D268" s="2415"/>
      <c r="E268" s="2223"/>
      <c r="F268" s="2358"/>
      <c r="G268" s="2386"/>
      <c r="H268" s="1410"/>
      <c r="I268" s="572" t="s">
        <v>1057</v>
      </c>
      <c r="J268" s="496"/>
      <c r="K268" s="1410"/>
      <c r="L268" s="135"/>
      <c r="M268" s="267"/>
      <c r="N268" s="260"/>
      <c r="O268" s="1536"/>
      <c r="P268" s="1536"/>
    </row>
    <row r="269" spans="1:16" s="1908" customFormat="1" ht="0.75" hidden="1" customHeight="1">
      <c r="A269" s="1690"/>
      <c r="B269" s="1690"/>
      <c r="C269" s="297" t="s">
        <v>1065</v>
      </c>
      <c r="D269" s="2415"/>
      <c r="E269" s="2223"/>
      <c r="F269" s="2358"/>
      <c r="G269" s="334"/>
      <c r="H269" s="1410"/>
      <c r="I269" s="572"/>
      <c r="J269" s="496"/>
      <c r="K269" s="1410"/>
      <c r="L269" s="135"/>
      <c r="M269" s="267"/>
      <c r="N269" s="260"/>
      <c r="O269" s="1536"/>
      <c r="P269" s="1536"/>
    </row>
    <row r="270" spans="1:16" s="1908" customFormat="1" ht="18.75" hidden="1" customHeight="1">
      <c r="A270" s="1690" t="s">
        <v>178</v>
      </c>
      <c r="B270" s="1690" t="s">
        <v>179</v>
      </c>
      <c r="C270" s="297"/>
      <c r="D270" s="2415"/>
      <c r="E270" s="2223"/>
      <c r="F270" s="2358" t="str">
        <f>INDEX(PT_DIFFERENTIATION_VTAR,MATCH(A270,PT_DIFFERENTIATION_VTAR_ID,0))</f>
        <v>Тарифы на услуги по передаче тепловой энергии</v>
      </c>
      <c r="G270" s="2386" t="str">
        <f>INDEX(PT_DIFFERENTIATION_NTAR,MATCH(B270,PT_DIFFERENTIATION_NTAR_ID,0))</f>
        <v/>
      </c>
      <c r="H270" s="1772"/>
      <c r="I270" s="1648"/>
      <c r="J270" s="1683"/>
      <c r="K270" s="1688"/>
      <c r="L270" s="1772" t="s">
        <v>295</v>
      </c>
      <c r="M270" s="267"/>
      <c r="N270" s="260"/>
      <c r="O270" s="1536"/>
      <c r="P270" s="1536"/>
    </row>
    <row r="271" spans="1:16" s="1908" customFormat="1" ht="18.75" hidden="1" customHeight="1">
      <c r="A271" s="1690"/>
      <c r="B271" s="1690"/>
      <c r="C271" s="297" t="s">
        <v>1058</v>
      </c>
      <c r="D271" s="2415"/>
      <c r="E271" s="2223"/>
      <c r="F271" s="2358"/>
      <c r="G271" s="2386"/>
      <c r="H271" s="1410"/>
      <c r="I271" s="572" t="s">
        <v>1057</v>
      </c>
      <c r="J271" s="496"/>
      <c r="K271" s="1410"/>
      <c r="L271" s="135"/>
      <c r="M271" s="267"/>
      <c r="N271" s="260"/>
      <c r="O271" s="1536"/>
      <c r="P271" s="1536"/>
    </row>
    <row r="272" spans="1:16" s="1908" customFormat="1" ht="0.75" hidden="1" customHeight="1">
      <c r="A272" s="1690"/>
      <c r="B272" s="1690"/>
      <c r="C272" s="297" t="s">
        <v>1065</v>
      </c>
      <c r="D272" s="2415"/>
      <c r="E272" s="2223"/>
      <c r="F272" s="2358"/>
      <c r="G272" s="334"/>
      <c r="H272" s="1410"/>
      <c r="I272" s="572"/>
      <c r="J272" s="496"/>
      <c r="K272" s="1410"/>
      <c r="L272" s="135"/>
      <c r="M272" s="267"/>
      <c r="N272" s="260"/>
      <c r="O272" s="1536"/>
      <c r="P272" s="1536"/>
    </row>
    <row r="273" spans="1:16" s="1908" customFormat="1" ht="18.75" hidden="1" customHeight="1">
      <c r="A273" s="1690" t="s">
        <v>184</v>
      </c>
      <c r="B273" s="1690" t="s">
        <v>185</v>
      </c>
      <c r="C273" s="297"/>
      <c r="D273" s="2415"/>
      <c r="E273" s="2223"/>
      <c r="F273" s="2358" t="str">
        <f>INDEX(PT_DIFFERENTIATION_VTAR,MATCH(A273,PT_DIFFERENTIATION_VTAR_ID,0))</f>
        <v>Тарифы на услуги по передаче теплоносителя</v>
      </c>
      <c r="G273" s="2386" t="str">
        <f>INDEX(PT_DIFFERENTIATION_NTAR,MATCH(B273,PT_DIFFERENTIATION_NTAR_ID,0))</f>
        <v/>
      </c>
      <c r="H273" s="1772"/>
      <c r="I273" s="1648"/>
      <c r="J273" s="1683"/>
      <c r="K273" s="1688"/>
      <c r="L273" s="1772" t="s">
        <v>295</v>
      </c>
      <c r="M273" s="267"/>
      <c r="N273" s="260"/>
      <c r="O273" s="1536"/>
      <c r="P273" s="1536"/>
    </row>
    <row r="274" spans="1:16" s="1908" customFormat="1" ht="18.75" hidden="1" customHeight="1">
      <c r="A274" s="1690"/>
      <c r="B274" s="1690"/>
      <c r="C274" s="297" t="s">
        <v>1058</v>
      </c>
      <c r="D274" s="2415"/>
      <c r="E274" s="2223"/>
      <c r="F274" s="2358"/>
      <c r="G274" s="2386"/>
      <c r="H274" s="1410"/>
      <c r="I274" s="572" t="s">
        <v>1057</v>
      </c>
      <c r="J274" s="496"/>
      <c r="K274" s="1410"/>
      <c r="L274" s="135"/>
      <c r="M274" s="267"/>
      <c r="N274" s="260"/>
      <c r="O274" s="1536"/>
      <c r="P274" s="1536"/>
    </row>
    <row r="275" spans="1:16" s="1908" customFormat="1" ht="0.75" hidden="1" customHeight="1">
      <c r="A275" s="1690"/>
      <c r="B275" s="1690"/>
      <c r="C275" s="297" t="s">
        <v>1065</v>
      </c>
      <c r="D275" s="2415"/>
      <c r="E275" s="2223"/>
      <c r="F275" s="2358"/>
      <c r="G275" s="334"/>
      <c r="H275" s="1410"/>
      <c r="I275" s="572"/>
      <c r="J275" s="496"/>
      <c r="K275" s="1410"/>
      <c r="L275" s="135"/>
      <c r="M275" s="267"/>
      <c r="N275" s="260"/>
      <c r="O275" s="1536"/>
      <c r="P275" s="1536"/>
    </row>
    <row r="276" spans="1:16" s="1908" customFormat="1" ht="18.75" hidden="1" customHeight="1">
      <c r="A276" s="1690" t="s">
        <v>190</v>
      </c>
      <c r="B276" s="1690" t="s">
        <v>191</v>
      </c>
      <c r="C276" s="297"/>
      <c r="D276" s="2415"/>
      <c r="E276" s="2223"/>
      <c r="F276" s="2358"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86" t="str">
        <f>INDEX(PT_DIFFERENTIATION_NTAR,MATCH(B276,PT_DIFFERENTIATION_NTAR_ID,0))</f>
        <v/>
      </c>
      <c r="H276" s="1772"/>
      <c r="I276" s="1648"/>
      <c r="J276" s="1683"/>
      <c r="K276" s="1688"/>
      <c r="L276" s="1772" t="s">
        <v>295</v>
      </c>
      <c r="M276" s="267"/>
      <c r="N276" s="260"/>
      <c r="O276" s="1536"/>
      <c r="P276" s="1536"/>
    </row>
    <row r="277" spans="1:16" s="1908" customFormat="1" ht="18.75" hidden="1" customHeight="1">
      <c r="A277" s="1690"/>
      <c r="B277" s="1690"/>
      <c r="C277" s="297" t="s">
        <v>1058</v>
      </c>
      <c r="D277" s="2415"/>
      <c r="E277" s="2223"/>
      <c r="F277" s="2358"/>
      <c r="G277" s="2386"/>
      <c r="H277" s="1410"/>
      <c r="I277" s="572" t="s">
        <v>1057</v>
      </c>
      <c r="J277" s="496"/>
      <c r="K277" s="1410"/>
      <c r="L277" s="135"/>
      <c r="M277" s="267"/>
      <c r="N277" s="260"/>
      <c r="O277" s="1536"/>
      <c r="P277" s="1536"/>
    </row>
    <row r="278" spans="1:16" s="1908" customFormat="1" ht="0.75" hidden="1" customHeight="1">
      <c r="A278" s="1690"/>
      <c r="B278" s="1690"/>
      <c r="C278" s="297" t="s">
        <v>1065</v>
      </c>
      <c r="D278" s="2415"/>
      <c r="E278" s="2223"/>
      <c r="F278" s="2358"/>
      <c r="G278" s="334"/>
      <c r="H278" s="1410"/>
      <c r="I278" s="572"/>
      <c r="J278" s="496"/>
      <c r="K278" s="1410"/>
      <c r="L278" s="135"/>
      <c r="M278" s="267"/>
      <c r="N278" s="260"/>
      <c r="O278" s="1536"/>
      <c r="P278" s="1536"/>
    </row>
    <row r="279" spans="1:16" s="1908" customFormat="1" ht="18.75" hidden="1" customHeight="1">
      <c r="A279" s="1690" t="s">
        <v>196</v>
      </c>
      <c r="B279" s="1690" t="s">
        <v>197</v>
      </c>
      <c r="C279" s="297"/>
      <c r="D279" s="2415"/>
      <c r="E279" s="2223"/>
      <c r="F279" s="2358" t="str">
        <f>INDEX(PT_DIFFERENTIATION_VTAR,MATCH(A279,PT_DIFFERENTIATION_VTAR_ID,0))</f>
        <v>Плата за подключение (технологическое присоединение) к системе теплоснабжения</v>
      </c>
      <c r="G279" s="2386" t="str">
        <f>INDEX(PT_DIFFERENTIATION_NTAR,MATCH(B279,PT_DIFFERENTIATION_NTAR_ID,0))</f>
        <v/>
      </c>
      <c r="H279" s="1772"/>
      <c r="I279" s="1648"/>
      <c r="J279" s="1683"/>
      <c r="K279" s="1688"/>
      <c r="L279" s="1772" t="s">
        <v>295</v>
      </c>
      <c r="M279" s="267"/>
      <c r="N279" s="260"/>
      <c r="O279" s="1536"/>
      <c r="P279" s="1536"/>
    </row>
    <row r="280" spans="1:16" s="1908" customFormat="1" ht="18.75" hidden="1" customHeight="1">
      <c r="A280" s="1690"/>
      <c r="B280" s="1690"/>
      <c r="C280" s="297" t="s">
        <v>1058</v>
      </c>
      <c r="D280" s="2415"/>
      <c r="E280" s="2223"/>
      <c r="F280" s="2358"/>
      <c r="G280" s="2386"/>
      <c r="H280" s="1410"/>
      <c r="I280" s="572" t="s">
        <v>1057</v>
      </c>
      <c r="J280" s="496"/>
      <c r="K280" s="1410"/>
      <c r="L280" s="135"/>
      <c r="M280" s="267"/>
      <c r="N280" s="260"/>
      <c r="O280" s="1536"/>
      <c r="P280" s="1536"/>
    </row>
    <row r="281" spans="1:16" s="1908" customFormat="1" ht="0.75" hidden="1" customHeight="1">
      <c r="A281" s="1690"/>
      <c r="B281" s="1690"/>
      <c r="C281" s="297" t="s">
        <v>1065</v>
      </c>
      <c r="D281" s="2415"/>
      <c r="E281" s="2223"/>
      <c r="F281" s="2358"/>
      <c r="G281" s="334"/>
      <c r="H281" s="1410"/>
      <c r="I281" s="572"/>
      <c r="J281" s="496"/>
      <c r="K281" s="1410"/>
      <c r="L281" s="135"/>
      <c r="M281" s="267"/>
      <c r="N281" s="260"/>
      <c r="O281" s="1536"/>
      <c r="P281" s="1536"/>
    </row>
    <row r="282" spans="1:16" s="1908" customFormat="1" ht="18.75" hidden="1" customHeight="1">
      <c r="A282" s="1690" t="s">
        <v>211</v>
      </c>
      <c r="B282" s="1690" t="s">
        <v>212</v>
      </c>
      <c r="C282" s="297"/>
      <c r="D282" s="2415"/>
      <c r="E282" s="2223"/>
      <c r="F282" s="2358" t="str">
        <f>INDEX(PT_DIFFERENTIATION_VTAR,MATCH(A282,PT_DIFFERENTIATION_VTAR_ID,0))</f>
        <v>Тариф на питьевую воду (питьевое водоснабжение)</v>
      </c>
      <c r="G282" s="2386" t="str">
        <f>INDEX(PT_DIFFERENTIATION_NTAR,MATCH(B282,PT_DIFFERENTIATION_NTAR_ID,0))</f>
        <v/>
      </c>
      <c r="H282" s="1772"/>
      <c r="I282" s="1648"/>
      <c r="J282" s="1683"/>
      <c r="K282" s="1688"/>
      <c r="L282" s="1772" t="s">
        <v>295</v>
      </c>
      <c r="M282" s="267"/>
      <c r="N282" s="260"/>
      <c r="O282" s="1536"/>
      <c r="P282" s="1536"/>
    </row>
    <row r="283" spans="1:16" s="1908" customFormat="1" ht="18.75" hidden="1" customHeight="1">
      <c r="A283" s="1690"/>
      <c r="B283" s="1690"/>
      <c r="C283" s="297" t="s">
        <v>1058</v>
      </c>
      <c r="D283" s="2415"/>
      <c r="E283" s="2223"/>
      <c r="F283" s="2358"/>
      <c r="G283" s="2386"/>
      <c r="H283" s="1410"/>
      <c r="I283" s="572" t="s">
        <v>1057</v>
      </c>
      <c r="J283" s="496"/>
      <c r="K283" s="1410"/>
      <c r="L283" s="135"/>
      <c r="M283" s="267"/>
      <c r="N283" s="260"/>
      <c r="O283" s="1536"/>
      <c r="P283" s="1536"/>
    </row>
    <row r="284" spans="1:16" s="1908" customFormat="1" ht="0.75" hidden="1" customHeight="1">
      <c r="A284" s="1690"/>
      <c r="B284" s="1690"/>
      <c r="C284" s="297" t="s">
        <v>1065</v>
      </c>
      <c r="D284" s="2415"/>
      <c r="E284" s="2223"/>
      <c r="F284" s="2358"/>
      <c r="G284" s="334"/>
      <c r="H284" s="1410"/>
      <c r="I284" s="572"/>
      <c r="J284" s="496"/>
      <c r="K284" s="1410"/>
      <c r="L284" s="135"/>
      <c r="M284" s="267"/>
      <c r="N284" s="260"/>
      <c r="O284" s="1536"/>
      <c r="P284" s="1536"/>
    </row>
    <row r="285" spans="1:16" s="1908" customFormat="1" ht="18.75" hidden="1" customHeight="1">
      <c r="A285" s="1690" t="s">
        <v>219</v>
      </c>
      <c r="B285" s="1690" t="s">
        <v>220</v>
      </c>
      <c r="C285" s="297"/>
      <c r="D285" s="2415"/>
      <c r="E285" s="2223"/>
      <c r="F285" s="2358" t="str">
        <f>INDEX(PT_DIFFERENTIATION_VTAR,MATCH(A285,PT_DIFFERENTIATION_VTAR_ID,0))</f>
        <v>Тариф на техническую воду</v>
      </c>
      <c r="G285" s="2386" t="str">
        <f>INDEX(PT_DIFFERENTIATION_NTAR,MATCH(B285,PT_DIFFERENTIATION_NTAR_ID,0))</f>
        <v/>
      </c>
      <c r="H285" s="1772"/>
      <c r="I285" s="1648"/>
      <c r="J285" s="1683"/>
      <c r="K285" s="1688"/>
      <c r="L285" s="1772" t="s">
        <v>295</v>
      </c>
      <c r="M285" s="267"/>
      <c r="N285" s="260"/>
      <c r="O285" s="1536"/>
      <c r="P285" s="1536"/>
    </row>
    <row r="286" spans="1:16" s="1908" customFormat="1" ht="18.75" hidden="1" customHeight="1">
      <c r="A286" s="1690"/>
      <c r="B286" s="1690"/>
      <c r="C286" s="297" t="s">
        <v>1058</v>
      </c>
      <c r="D286" s="2415"/>
      <c r="E286" s="2223"/>
      <c r="F286" s="2358"/>
      <c r="G286" s="2386"/>
      <c r="H286" s="1410"/>
      <c r="I286" s="572" t="s">
        <v>1057</v>
      </c>
      <c r="J286" s="496"/>
      <c r="K286" s="1410"/>
      <c r="L286" s="135"/>
      <c r="M286" s="267"/>
      <c r="N286" s="260"/>
      <c r="O286" s="1536"/>
      <c r="P286" s="1536"/>
    </row>
    <row r="287" spans="1:16" s="1908" customFormat="1" ht="0.75" hidden="1" customHeight="1">
      <c r="A287" s="1690"/>
      <c r="B287" s="1690"/>
      <c r="C287" s="297" t="s">
        <v>1065</v>
      </c>
      <c r="D287" s="2415"/>
      <c r="E287" s="2223"/>
      <c r="F287" s="2358"/>
      <c r="G287" s="334"/>
      <c r="H287" s="1410"/>
      <c r="I287" s="572"/>
      <c r="J287" s="496"/>
      <c r="K287" s="1410"/>
      <c r="L287" s="135"/>
      <c r="M287" s="267"/>
      <c r="N287" s="260"/>
      <c r="O287" s="1536"/>
      <c r="P287" s="1536"/>
    </row>
    <row r="288" spans="1:16" s="1908" customFormat="1" ht="18.75" hidden="1" customHeight="1">
      <c r="A288" s="1690" t="s">
        <v>224</v>
      </c>
      <c r="B288" s="1690" t="s">
        <v>225</v>
      </c>
      <c r="C288" s="297"/>
      <c r="D288" s="2415"/>
      <c r="E288" s="2223"/>
      <c r="F288" s="2358" t="str">
        <f>INDEX(PT_DIFFERENTIATION_VTAR,MATCH(A288,PT_DIFFERENTIATION_VTAR_ID,0))</f>
        <v>Тариф на транспортировку воды</v>
      </c>
      <c r="G288" s="2386" t="str">
        <f>INDEX(PT_DIFFERENTIATION_NTAR,MATCH(B288,PT_DIFFERENTIATION_NTAR_ID,0))</f>
        <v/>
      </c>
      <c r="H288" s="1772"/>
      <c r="I288" s="1648"/>
      <c r="J288" s="1683"/>
      <c r="K288" s="1688"/>
      <c r="L288" s="1772" t="s">
        <v>295</v>
      </c>
      <c r="M288" s="267"/>
      <c r="N288" s="260"/>
      <c r="O288" s="1536"/>
      <c r="P288" s="1536"/>
    </row>
    <row r="289" spans="1:16" s="1908" customFormat="1" ht="18.75" hidden="1" customHeight="1">
      <c r="A289" s="1690"/>
      <c r="B289" s="1690"/>
      <c r="C289" s="297" t="s">
        <v>1058</v>
      </c>
      <c r="D289" s="2415"/>
      <c r="E289" s="2223"/>
      <c r="F289" s="2358"/>
      <c r="G289" s="2386"/>
      <c r="H289" s="1410"/>
      <c r="I289" s="572" t="s">
        <v>1057</v>
      </c>
      <c r="J289" s="496"/>
      <c r="K289" s="1410"/>
      <c r="L289" s="135"/>
      <c r="M289" s="267"/>
      <c r="N289" s="260"/>
      <c r="O289" s="1536"/>
      <c r="P289" s="1536"/>
    </row>
    <row r="290" spans="1:16" s="1908" customFormat="1" ht="0.75" hidden="1" customHeight="1">
      <c r="A290" s="1690"/>
      <c r="B290" s="1690"/>
      <c r="C290" s="297" t="s">
        <v>1065</v>
      </c>
      <c r="D290" s="2415"/>
      <c r="E290" s="2223"/>
      <c r="F290" s="2358"/>
      <c r="G290" s="334"/>
      <c r="H290" s="1410"/>
      <c r="I290" s="572"/>
      <c r="J290" s="496"/>
      <c r="K290" s="1410"/>
      <c r="L290" s="135"/>
      <c r="M290" s="267"/>
      <c r="N290" s="260"/>
      <c r="O290" s="1536"/>
      <c r="P290" s="1536"/>
    </row>
    <row r="291" spans="1:16" s="1908" customFormat="1" ht="18.75" hidden="1" customHeight="1">
      <c r="A291" s="1690" t="s">
        <v>229</v>
      </c>
      <c r="B291" s="1690" t="s">
        <v>230</v>
      </c>
      <c r="C291" s="297"/>
      <c r="D291" s="2415"/>
      <c r="E291" s="2223"/>
      <c r="F291" s="2358" t="str">
        <f>INDEX(PT_DIFFERENTIATION_VTAR,MATCH(A291,PT_DIFFERENTIATION_VTAR_ID,0))</f>
        <v>Тариф на подвоз воды</v>
      </c>
      <c r="G291" s="2386" t="str">
        <f>INDEX(PT_DIFFERENTIATION_NTAR,MATCH(B291,PT_DIFFERENTIATION_NTAR_ID,0))</f>
        <v/>
      </c>
      <c r="H291" s="1772"/>
      <c r="I291" s="1648"/>
      <c r="J291" s="1683"/>
      <c r="K291" s="1688"/>
      <c r="L291" s="1772" t="s">
        <v>295</v>
      </c>
      <c r="M291" s="267"/>
      <c r="N291" s="260"/>
      <c r="O291" s="1536"/>
      <c r="P291" s="1536"/>
    </row>
    <row r="292" spans="1:16" s="1908" customFormat="1" ht="18.75" hidden="1" customHeight="1">
      <c r="A292" s="1690"/>
      <c r="B292" s="1690"/>
      <c r="C292" s="297" t="s">
        <v>1058</v>
      </c>
      <c r="D292" s="2415"/>
      <c r="E292" s="2223"/>
      <c r="F292" s="2358"/>
      <c r="G292" s="2386"/>
      <c r="H292" s="1410"/>
      <c r="I292" s="572" t="s">
        <v>1057</v>
      </c>
      <c r="J292" s="496"/>
      <c r="K292" s="1410"/>
      <c r="L292" s="135"/>
      <c r="M292" s="267"/>
      <c r="N292" s="260"/>
      <c r="O292" s="1536"/>
      <c r="P292" s="1536"/>
    </row>
    <row r="293" spans="1:16" s="1908" customFormat="1" ht="0.75" hidden="1" customHeight="1">
      <c r="A293" s="1690"/>
      <c r="B293" s="1690"/>
      <c r="C293" s="297" t="s">
        <v>1065</v>
      </c>
      <c r="D293" s="2415"/>
      <c r="E293" s="2223"/>
      <c r="F293" s="2358"/>
      <c r="G293" s="334"/>
      <c r="H293" s="1410"/>
      <c r="I293" s="572"/>
      <c r="J293" s="496"/>
      <c r="K293" s="1410"/>
      <c r="L293" s="135"/>
      <c r="M293" s="267"/>
      <c r="N293" s="260"/>
      <c r="O293" s="1536"/>
      <c r="P293" s="1536"/>
    </row>
    <row r="294" spans="1:16" s="1908" customFormat="1" ht="18.75" hidden="1" customHeight="1">
      <c r="A294" s="1690" t="s">
        <v>234</v>
      </c>
      <c r="B294" s="1690" t="s">
        <v>235</v>
      </c>
      <c r="C294" s="297"/>
      <c r="D294" s="2415"/>
      <c r="E294" s="2223"/>
      <c r="F294" s="2358"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386" t="str">
        <f>INDEX(PT_DIFFERENTIATION_NTAR,MATCH(B294,PT_DIFFERENTIATION_NTAR_ID,0))</f>
        <v/>
      </c>
      <c r="H294" s="1772"/>
      <c r="I294" s="1648"/>
      <c r="J294" s="1683"/>
      <c r="K294" s="1688"/>
      <c r="L294" s="1772" t="s">
        <v>295</v>
      </c>
      <c r="M294" s="267"/>
      <c r="N294" s="260"/>
      <c r="O294" s="1536"/>
      <c r="P294" s="1536"/>
    </row>
    <row r="295" spans="1:16" s="1908" customFormat="1" ht="18.75" hidden="1" customHeight="1">
      <c r="A295" s="1690"/>
      <c r="B295" s="1690"/>
      <c r="C295" s="297" t="s">
        <v>1058</v>
      </c>
      <c r="D295" s="2415"/>
      <c r="E295" s="2223"/>
      <c r="F295" s="2358"/>
      <c r="G295" s="2386"/>
      <c r="H295" s="1410"/>
      <c r="I295" s="572" t="s">
        <v>1057</v>
      </c>
      <c r="J295" s="496"/>
      <c r="K295" s="1410"/>
      <c r="L295" s="135"/>
      <c r="M295" s="267"/>
      <c r="N295" s="260"/>
      <c r="O295" s="1536"/>
      <c r="P295" s="1536"/>
    </row>
    <row r="296" spans="1:16" s="1908" customFormat="1" ht="0.75" hidden="1" customHeight="1">
      <c r="A296" s="1690"/>
      <c r="B296" s="1690"/>
      <c r="C296" s="297" t="s">
        <v>1065</v>
      </c>
      <c r="D296" s="2415"/>
      <c r="E296" s="2223"/>
      <c r="F296" s="2358"/>
      <c r="G296" s="334"/>
      <c r="H296" s="1410"/>
      <c r="I296" s="572"/>
      <c r="J296" s="496"/>
      <c r="K296" s="1410"/>
      <c r="L296" s="135"/>
      <c r="M296" s="267"/>
      <c r="N296" s="260"/>
      <c r="O296" s="1536"/>
      <c r="P296" s="1536"/>
    </row>
    <row r="297" spans="1:16" s="1908" customFormat="1" ht="18.75" hidden="1" customHeight="1">
      <c r="A297" s="1690" t="s">
        <v>239</v>
      </c>
      <c r="B297" s="1690" t="s">
        <v>240</v>
      </c>
      <c r="C297" s="297"/>
      <c r="D297" s="2415"/>
      <c r="E297" s="2223"/>
      <c r="F297" s="2358" t="str">
        <f>INDEX(PT_DIFFERENTIATION_VTAR,MATCH(A297,PT_DIFFERENTIATION_VTAR_ID,0))</f>
        <v>Тариф на горячую воду (горячее водоснабжение)</v>
      </c>
      <c r="G297" s="2386" t="str">
        <f>INDEX(PT_DIFFERENTIATION_NTAR,MATCH(B297,PT_DIFFERENTIATION_NTAR_ID,0))</f>
        <v/>
      </c>
      <c r="H297" s="1772"/>
      <c r="I297" s="1648"/>
      <c r="J297" s="1683"/>
      <c r="K297" s="1688"/>
      <c r="L297" s="1772" t="s">
        <v>295</v>
      </c>
      <c r="M297" s="267"/>
      <c r="N297" s="260"/>
      <c r="O297" s="1536"/>
      <c r="P297" s="1536"/>
    </row>
    <row r="298" spans="1:16" s="1908" customFormat="1" ht="18.75" hidden="1" customHeight="1">
      <c r="A298" s="1690"/>
      <c r="B298" s="1690"/>
      <c r="C298" s="297" t="s">
        <v>1058</v>
      </c>
      <c r="D298" s="2415"/>
      <c r="E298" s="2223"/>
      <c r="F298" s="2358"/>
      <c r="G298" s="2386"/>
      <c r="H298" s="1410"/>
      <c r="I298" s="572" t="s">
        <v>1057</v>
      </c>
      <c r="J298" s="496"/>
      <c r="K298" s="1410"/>
      <c r="L298" s="135"/>
      <c r="M298" s="267"/>
      <c r="N298" s="260"/>
      <c r="O298" s="1536"/>
      <c r="P298" s="1536"/>
    </row>
    <row r="299" spans="1:16" s="1908" customFormat="1" ht="0.75" hidden="1" customHeight="1">
      <c r="A299" s="1690"/>
      <c r="B299" s="1690"/>
      <c r="C299" s="297" t="s">
        <v>1065</v>
      </c>
      <c r="D299" s="2415"/>
      <c r="E299" s="2223"/>
      <c r="F299" s="2358"/>
      <c r="G299" s="334"/>
      <c r="H299" s="1410"/>
      <c r="I299" s="572"/>
      <c r="J299" s="496"/>
      <c r="K299" s="1410"/>
      <c r="L299" s="135"/>
      <c r="M299" s="267"/>
      <c r="N299" s="260"/>
      <c r="O299" s="1536"/>
      <c r="P299" s="1536"/>
    </row>
    <row r="300" spans="1:16" s="1908" customFormat="1" ht="18.75" hidden="1" customHeight="1">
      <c r="A300" s="1690" t="s">
        <v>244</v>
      </c>
      <c r="B300" s="1690" t="s">
        <v>245</v>
      </c>
      <c r="C300" s="297"/>
      <c r="D300" s="2415"/>
      <c r="E300" s="2223"/>
      <c r="F300" s="2358" t="str">
        <f>INDEX(PT_DIFFERENTIATION_VTAR,MATCH(A300,PT_DIFFERENTIATION_VTAR_ID,0))</f>
        <v>Тариф на транспортировку горячей воды</v>
      </c>
      <c r="G300" s="2386" t="str">
        <f>INDEX(PT_DIFFERENTIATION_NTAR,MATCH(B300,PT_DIFFERENTIATION_NTAR_ID,0))</f>
        <v/>
      </c>
      <c r="H300" s="1772"/>
      <c r="I300" s="1648"/>
      <c r="J300" s="1683"/>
      <c r="K300" s="1688"/>
      <c r="L300" s="1772" t="s">
        <v>295</v>
      </c>
      <c r="M300" s="267"/>
      <c r="N300" s="260"/>
      <c r="O300" s="1536"/>
      <c r="P300" s="1536"/>
    </row>
    <row r="301" spans="1:16" s="1908" customFormat="1" ht="18.75" hidden="1" customHeight="1">
      <c r="A301" s="1690"/>
      <c r="B301" s="1690"/>
      <c r="C301" s="297" t="s">
        <v>1058</v>
      </c>
      <c r="D301" s="2415"/>
      <c r="E301" s="2223"/>
      <c r="F301" s="2358"/>
      <c r="G301" s="2386"/>
      <c r="H301" s="1410"/>
      <c r="I301" s="572" t="s">
        <v>1057</v>
      </c>
      <c r="J301" s="496"/>
      <c r="K301" s="1410"/>
      <c r="L301" s="135"/>
      <c r="M301" s="267"/>
      <c r="N301" s="260"/>
      <c r="O301" s="1536"/>
      <c r="P301" s="1536"/>
    </row>
    <row r="302" spans="1:16" s="1908" customFormat="1" ht="0.75" hidden="1" customHeight="1">
      <c r="A302" s="1690"/>
      <c r="B302" s="1690"/>
      <c r="C302" s="297" t="s">
        <v>1065</v>
      </c>
      <c r="D302" s="2415"/>
      <c r="E302" s="2223"/>
      <c r="F302" s="2358"/>
      <c r="G302" s="334"/>
      <c r="H302" s="1410"/>
      <c r="I302" s="572"/>
      <c r="J302" s="496"/>
      <c r="K302" s="1410"/>
      <c r="L302" s="135"/>
      <c r="M302" s="267"/>
      <c r="N302" s="260"/>
      <c r="O302" s="1536"/>
      <c r="P302" s="1536"/>
    </row>
    <row r="303" spans="1:16" s="1908" customFormat="1" ht="18.75" hidden="1" customHeight="1">
      <c r="A303" s="1690" t="s">
        <v>249</v>
      </c>
      <c r="B303" s="1690" t="s">
        <v>250</v>
      </c>
      <c r="C303" s="297"/>
      <c r="D303" s="2415"/>
      <c r="E303" s="2223"/>
      <c r="F303" s="2358" t="str">
        <f>INDEX(PT_DIFFERENTIATION_VTAR,MATCH(A303,PT_DIFFERENTIATION_VTAR_ID,0))</f>
        <v>Тариф на подключение (технологическое присоединение) к централизованной системе горячего водоснабжения</v>
      </c>
      <c r="G303" s="2386" t="str">
        <f>INDEX(PT_DIFFERENTIATION_NTAR,MATCH(B303,PT_DIFFERENTIATION_NTAR_ID,0))</f>
        <v/>
      </c>
      <c r="H303" s="1772"/>
      <c r="I303" s="1648"/>
      <c r="J303" s="1683"/>
      <c r="K303" s="1688"/>
      <c r="L303" s="1772" t="s">
        <v>295</v>
      </c>
      <c r="M303" s="267"/>
      <c r="N303" s="260"/>
      <c r="O303" s="1536"/>
      <c r="P303" s="1536"/>
    </row>
    <row r="304" spans="1:16" s="1908" customFormat="1" ht="18.75" hidden="1" customHeight="1">
      <c r="A304" s="1690"/>
      <c r="B304" s="1690"/>
      <c r="C304" s="297" t="s">
        <v>1058</v>
      </c>
      <c r="D304" s="2415"/>
      <c r="E304" s="2223"/>
      <c r="F304" s="2358"/>
      <c r="G304" s="2386"/>
      <c r="H304" s="1410"/>
      <c r="I304" s="572" t="s">
        <v>1057</v>
      </c>
      <c r="J304" s="496"/>
      <c r="K304" s="1410"/>
      <c r="L304" s="135"/>
      <c r="M304" s="267"/>
      <c r="N304" s="260"/>
      <c r="O304" s="1536"/>
      <c r="P304" s="1536"/>
    </row>
    <row r="305" spans="1:16" s="1908" customFormat="1" ht="0.75" hidden="1" customHeight="1">
      <c r="A305" s="1690"/>
      <c r="B305" s="1690"/>
      <c r="C305" s="297" t="s">
        <v>1065</v>
      </c>
      <c r="D305" s="2415"/>
      <c r="E305" s="2223"/>
      <c r="F305" s="2358"/>
      <c r="G305" s="334"/>
      <c r="H305" s="1410"/>
      <c r="I305" s="572"/>
      <c r="J305" s="496"/>
      <c r="K305" s="1410"/>
      <c r="L305" s="135"/>
      <c r="M305" s="267"/>
      <c r="N305" s="260"/>
      <c r="O305" s="1536"/>
      <c r="P305" s="1536"/>
    </row>
    <row r="306" spans="1:16" s="1908" customFormat="1" ht="18.75" hidden="1" customHeight="1">
      <c r="A306" s="1690" t="s">
        <v>254</v>
      </c>
      <c r="B306" s="1690" t="s">
        <v>255</v>
      </c>
      <c r="C306" s="297"/>
      <c r="D306" s="2415"/>
      <c r="E306" s="2223"/>
      <c r="F306" s="2358" t="str">
        <f>INDEX(PT_DIFFERENTIATION_VTAR,MATCH(A306,PT_DIFFERENTIATION_VTAR_ID,0))</f>
        <v>Тариф на водоотведение</v>
      </c>
      <c r="G306" s="2386" t="str">
        <f>INDEX(PT_DIFFERENTIATION_NTAR,MATCH(B306,PT_DIFFERENTIATION_NTAR_ID,0))</f>
        <v/>
      </c>
      <c r="H306" s="1772"/>
      <c r="I306" s="1648"/>
      <c r="J306" s="1683"/>
      <c r="K306" s="1688"/>
      <c r="L306" s="1772" t="s">
        <v>295</v>
      </c>
      <c r="M306" s="267"/>
      <c r="N306" s="260"/>
      <c r="O306" s="1536"/>
      <c r="P306" s="1536"/>
    </row>
    <row r="307" spans="1:16" s="1908" customFormat="1" ht="18.75" hidden="1" customHeight="1">
      <c r="A307" s="1690"/>
      <c r="B307" s="1690"/>
      <c r="C307" s="297" t="s">
        <v>1058</v>
      </c>
      <c r="D307" s="2415"/>
      <c r="E307" s="2223"/>
      <c r="F307" s="2358"/>
      <c r="G307" s="2386"/>
      <c r="H307" s="1410"/>
      <c r="I307" s="572" t="s">
        <v>1057</v>
      </c>
      <c r="J307" s="496"/>
      <c r="K307" s="1410"/>
      <c r="L307" s="135"/>
      <c r="M307" s="267"/>
      <c r="N307" s="260"/>
      <c r="O307" s="1536"/>
      <c r="P307" s="1536"/>
    </row>
    <row r="308" spans="1:16" s="1908" customFormat="1" ht="0.75" hidden="1" customHeight="1">
      <c r="A308" s="1690"/>
      <c r="B308" s="1690"/>
      <c r="C308" s="297" t="s">
        <v>1065</v>
      </c>
      <c r="D308" s="2415"/>
      <c r="E308" s="2223"/>
      <c r="F308" s="2358"/>
      <c r="G308" s="334"/>
      <c r="H308" s="1410"/>
      <c r="I308" s="572"/>
      <c r="J308" s="496"/>
      <c r="K308" s="1410"/>
      <c r="L308" s="135"/>
      <c r="M308" s="267"/>
      <c r="N308" s="260"/>
      <c r="O308" s="1536"/>
      <c r="P308" s="1536"/>
    </row>
    <row r="309" spans="1:16" s="1908" customFormat="1" ht="18.75" hidden="1" customHeight="1">
      <c r="A309" s="1690" t="s">
        <v>259</v>
      </c>
      <c r="B309" s="1690" t="s">
        <v>260</v>
      </c>
      <c r="C309" s="297"/>
      <c r="D309" s="2415"/>
      <c r="E309" s="2223"/>
      <c r="F309" s="2358" t="str">
        <f>INDEX(PT_DIFFERENTIATION_VTAR,MATCH(A309,PT_DIFFERENTIATION_VTAR_ID,0))</f>
        <v>Тариф на транспортировку сточных вод</v>
      </c>
      <c r="G309" s="2386" t="str">
        <f>INDEX(PT_DIFFERENTIATION_NTAR,MATCH(B309,PT_DIFFERENTIATION_NTAR_ID,0))</f>
        <v/>
      </c>
      <c r="H309" s="1772"/>
      <c r="I309" s="1648"/>
      <c r="J309" s="1683"/>
      <c r="K309" s="1688"/>
      <c r="L309" s="1772" t="s">
        <v>295</v>
      </c>
      <c r="M309" s="267"/>
      <c r="N309" s="260"/>
      <c r="O309" s="1536"/>
      <c r="P309" s="1536"/>
    </row>
    <row r="310" spans="1:16" s="1908" customFormat="1" ht="18.75" hidden="1" customHeight="1">
      <c r="A310" s="1690"/>
      <c r="B310" s="1690"/>
      <c r="C310" s="297" t="s">
        <v>1058</v>
      </c>
      <c r="D310" s="2415"/>
      <c r="E310" s="2223"/>
      <c r="F310" s="2358"/>
      <c r="G310" s="2386"/>
      <c r="H310" s="1410"/>
      <c r="I310" s="572" t="s">
        <v>1057</v>
      </c>
      <c r="J310" s="496"/>
      <c r="K310" s="1410"/>
      <c r="L310" s="135"/>
      <c r="M310" s="267"/>
      <c r="N310" s="260"/>
      <c r="O310" s="1536"/>
      <c r="P310" s="1536"/>
    </row>
    <row r="311" spans="1:16" s="1908" customFormat="1" ht="0.75" hidden="1" customHeight="1">
      <c r="A311" s="1690"/>
      <c r="B311" s="1690"/>
      <c r="C311" s="297" t="s">
        <v>1065</v>
      </c>
      <c r="D311" s="2415"/>
      <c r="E311" s="2223"/>
      <c r="F311" s="2358"/>
      <c r="G311" s="334"/>
      <c r="H311" s="1410"/>
      <c r="I311" s="572"/>
      <c r="J311" s="496"/>
      <c r="K311" s="1410"/>
      <c r="L311" s="135"/>
      <c r="M311" s="267"/>
      <c r="N311" s="260"/>
      <c r="O311" s="1536"/>
      <c r="P311" s="1536"/>
    </row>
    <row r="312" spans="1:16" s="1908" customFormat="1" ht="18.75" hidden="1" customHeight="1">
      <c r="A312" s="1690" t="s">
        <v>264</v>
      </c>
      <c r="B312" s="1690" t="s">
        <v>265</v>
      </c>
      <c r="C312" s="297"/>
      <c r="D312" s="2415"/>
      <c r="E312" s="2223"/>
      <c r="F312" s="2358" t="str">
        <f>INDEX(PT_DIFFERENTIATION_VTAR,MATCH(A312,PT_DIFFERENTIATION_VTAR_ID,0))</f>
        <v>Тариф на подключение (технологическое присоединение) к централизованной системе водоотведения</v>
      </c>
      <c r="G312" s="2386" t="str">
        <f>INDEX(PT_DIFFERENTIATION_NTAR,MATCH(B312,PT_DIFFERENTIATION_NTAR_ID,0))</f>
        <v/>
      </c>
      <c r="H312" s="1772"/>
      <c r="I312" s="1648"/>
      <c r="J312" s="1683"/>
      <c r="K312" s="1688"/>
      <c r="L312" s="1772" t="s">
        <v>295</v>
      </c>
      <c r="M312" s="267"/>
      <c r="N312" s="260"/>
      <c r="O312" s="1536"/>
      <c r="P312" s="1536"/>
    </row>
    <row r="313" spans="1:16" s="1908" customFormat="1" ht="18.75" hidden="1" customHeight="1">
      <c r="A313" s="1690"/>
      <c r="B313" s="1690"/>
      <c r="C313" s="297" t="s">
        <v>1058</v>
      </c>
      <c r="D313" s="2415"/>
      <c r="E313" s="2223"/>
      <c r="F313" s="2358"/>
      <c r="G313" s="2386"/>
      <c r="H313" s="1410"/>
      <c r="I313" s="572" t="s">
        <v>1057</v>
      </c>
      <c r="J313" s="496"/>
      <c r="K313" s="1410"/>
      <c r="L313" s="135"/>
      <c r="M313" s="267"/>
      <c r="N313" s="260"/>
      <c r="O313" s="1536"/>
      <c r="P313" s="1536"/>
    </row>
    <row r="314" spans="1:16" s="1908" customFormat="1" ht="0.75" customHeight="1">
      <c r="A314" s="1690"/>
      <c r="B314" s="1690"/>
      <c r="C314" s="297" t="s">
        <v>1065</v>
      </c>
      <c r="D314" s="2415"/>
      <c r="E314" s="2223"/>
      <c r="F314" s="2358"/>
      <c r="G314" s="334"/>
      <c r="H314" s="1410"/>
      <c r="I314" s="572"/>
      <c r="J314" s="496"/>
      <c r="K314" s="1410"/>
      <c r="L314" s="135"/>
      <c r="M314" s="267"/>
      <c r="N314" s="260"/>
      <c r="O314" s="1536"/>
      <c r="P314" s="1536"/>
    </row>
    <row r="315" spans="1:16" s="2054" customFormat="1" ht="3" customHeight="1">
      <c r="A315" s="1690"/>
      <c r="B315" s="1690"/>
      <c r="C315" s="1691"/>
      <c r="E315" s="336"/>
      <c r="F315" s="336"/>
      <c r="G315" s="336"/>
      <c r="H315" s="336"/>
      <c r="I315" s="336"/>
      <c r="J315" s="336"/>
      <c r="K315" s="336"/>
      <c r="L315" s="336"/>
      <c r="M315" s="336"/>
      <c r="O315" s="117"/>
      <c r="P315" s="117"/>
    </row>
    <row r="316" spans="1:16" ht="24.75" customHeight="1">
      <c r="E316" s="123"/>
      <c r="F316" s="2290"/>
      <c r="G316" s="2290"/>
      <c r="H316" s="2290"/>
      <c r="I316" s="2290"/>
      <c r="J316" s="2290"/>
      <c r="K316" s="2290"/>
      <c r="L316" s="2290"/>
      <c r="M316" s="2290"/>
    </row>
  </sheetData>
  <sheetProtection formatColumns="0" formatRows="0" insertRows="0" deleteColumns="0" deleteRows="0" sort="0" autoFilter="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xr:uid="{00000000-0002-0000-2A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xr:uid="{00000000-0002-0000-2A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xr:uid="{00000000-0002-0000-2A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xr:uid="{00000000-0002-0000-2A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296B6-ADAE-7348-5A4D-9C1ACEB81616}">
  <sheetPr>
    <tabColor theme="6" tint="0.39997558519241921"/>
  </sheetPr>
  <dimension ref="A1:Q16"/>
  <sheetViews>
    <sheetView showGridLines="0" topLeftCell="C4" zoomScale="90" workbookViewId="0"/>
  </sheetViews>
  <sheetFormatPr defaultColWidth="10.5703125" defaultRowHeight="14.25" customHeight="1"/>
  <cols>
    <col min="1" max="1" width="9.140625" style="2057" hidden="1" customWidth="1"/>
    <col min="2" max="2" width="9.140625" style="2040" hidden="1" customWidth="1"/>
    <col min="3" max="3" width="3.7109375" style="1939" customWidth="1"/>
    <col min="4" max="4" width="6.28515625" style="2056" customWidth="1"/>
    <col min="5" max="5" width="53.85546875" style="2056" customWidth="1"/>
    <col min="6" max="7" width="35.7109375" style="2056" customWidth="1"/>
    <col min="8" max="8" width="89.5703125" style="2056" customWidth="1"/>
    <col min="9" max="9" width="10.5703125" style="2056"/>
    <col min="10" max="11" width="10.5703125" style="2041"/>
    <col min="12" max="17" width="10.5703125" style="2056"/>
  </cols>
  <sheetData>
    <row r="1" spans="1:17" ht="14.25" hidden="1" customHeight="1">
      <c r="N1" s="173"/>
      <c r="O1" s="173"/>
      <c r="Q1" s="173"/>
    </row>
    <row r="2" spans="1:17" s="1908" customFormat="1" ht="18.75" hidden="1" customHeight="1">
      <c r="A2" s="34"/>
      <c r="B2" s="1060"/>
      <c r="C2" s="1640" t="s">
        <v>477</v>
      </c>
      <c r="D2" s="1584"/>
      <c r="E2" s="1593"/>
      <c r="F2" s="175"/>
      <c r="G2" s="1061"/>
      <c r="H2" s="302"/>
      <c r="I2" s="1536"/>
      <c r="J2" s="1536"/>
    </row>
    <row r="3" spans="1:17" ht="14.25" hidden="1" customHeight="1"/>
    <row r="4" spans="1:17" ht="6" customHeight="1">
      <c r="C4" s="305"/>
      <c r="D4" s="290"/>
      <c r="E4" s="290"/>
      <c r="F4" s="290"/>
      <c r="G4" s="19"/>
      <c r="H4" s="19"/>
    </row>
    <row r="5" spans="1:17" ht="33" customHeight="1">
      <c r="C5" s="305"/>
      <c r="D5" s="217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76"/>
      <c r="F5" s="2176"/>
      <c r="G5" s="2177"/>
      <c r="H5" s="184"/>
    </row>
    <row r="6" spans="1:17" s="1908" customFormat="1" ht="17.25" customHeight="1">
      <c r="A6" s="1580"/>
      <c r="B6" s="1060"/>
      <c r="C6" s="305"/>
      <c r="D6" s="2234" t="str">
        <f>IF(org=0,"Не определено",org)</f>
        <v>ПАО "Юнипро"</v>
      </c>
      <c r="E6" s="2235"/>
      <c r="F6" s="2235"/>
      <c r="G6" s="2236"/>
      <c r="H6" s="184"/>
      <c r="J6" s="1536"/>
      <c r="K6" s="1536"/>
    </row>
    <row r="7" spans="1:17" ht="14.25" customHeight="1">
      <c r="C7" s="305"/>
      <c r="D7" s="290"/>
      <c r="E7" s="323"/>
      <c r="F7" s="323"/>
      <c r="G7" s="669"/>
      <c r="H7" s="114"/>
    </row>
    <row r="8" spans="1:17" ht="14.25" customHeight="1">
      <c r="C8" s="305"/>
      <c r="D8" s="2229" t="s">
        <v>289</v>
      </c>
      <c r="E8" s="2229"/>
      <c r="F8" s="2229"/>
      <c r="G8" s="2229"/>
      <c r="H8" s="2412" t="s">
        <v>290</v>
      </c>
    </row>
    <row r="9" spans="1:17" ht="14.25" customHeight="1">
      <c r="C9" s="305"/>
      <c r="D9" s="320" t="s">
        <v>87</v>
      </c>
      <c r="E9" s="39" t="s">
        <v>291</v>
      </c>
      <c r="F9" s="39" t="s">
        <v>292</v>
      </c>
      <c r="G9" s="39" t="s">
        <v>381</v>
      </c>
      <c r="H9" s="2412"/>
    </row>
    <row r="10" spans="1:17" ht="14.25" customHeight="1">
      <c r="A10" s="268"/>
      <c r="C10" s="305"/>
      <c r="D10" s="71" t="s">
        <v>108</v>
      </c>
      <c r="E10" s="179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75"/>
      <c r="G10" s="134"/>
      <c r="H10" s="2185" t="s">
        <v>1066</v>
      </c>
    </row>
    <row r="11" spans="1:17" ht="14.25" customHeight="1">
      <c r="A11" s="268"/>
      <c r="C11" s="305"/>
      <c r="D11" s="71" t="s">
        <v>109</v>
      </c>
      <c r="E11" s="179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75"/>
      <c r="G11" s="134"/>
      <c r="H11" s="2186"/>
    </row>
    <row r="12" spans="1:17" ht="14.25" customHeight="1">
      <c r="A12" s="34"/>
      <c r="C12" s="321"/>
      <c r="D12" s="71" t="s">
        <v>89</v>
      </c>
      <c r="E12" s="322" t="str">
        <f>"Сведения о планировании закупочных процедур"&amp;IF(TEMPLATE_SPHERE="TKO"," &lt;1&gt;","")</f>
        <v>Сведения о планировании закупочных процедур</v>
      </c>
      <c r="F12" s="175"/>
      <c r="G12" s="134"/>
      <c r="H12" s="218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75"/>
      <c r="K12" s="302"/>
    </row>
    <row r="13" spans="1:17" ht="14.25" customHeight="1">
      <c r="A13" s="34"/>
      <c r="C13" s="321"/>
      <c r="D13" s="71" t="s">
        <v>90</v>
      </c>
      <c r="E13" s="322" t="str">
        <f>"Сведения о результатах проведения закупочных процедур"&amp;IF(TEMPLATE_SPHERE="TKO"," &lt;1&gt;","")</f>
        <v>Сведения о результатах проведения закупочных процедур</v>
      </c>
      <c r="F13" s="175"/>
      <c r="G13" s="134"/>
      <c r="H13" s="2186"/>
      <c r="I13" s="275"/>
      <c r="K13" s="302"/>
    </row>
    <row r="14" spans="1:17" ht="14.25" customHeight="1">
      <c r="A14" s="268"/>
      <c r="C14" s="305"/>
      <c r="D14" s="272"/>
      <c r="E14" s="329" t="s">
        <v>1021</v>
      </c>
      <c r="F14" s="274"/>
      <c r="G14" s="122"/>
      <c r="H14" s="2187"/>
    </row>
    <row r="15" spans="1:17" s="1908" customFormat="1" ht="14.25" customHeight="1">
      <c r="A15" s="268"/>
      <c r="B15" s="1060"/>
      <c r="C15" s="305"/>
      <c r="D15" s="330"/>
      <c r="E15" s="1588"/>
      <c r="F15" s="1589"/>
      <c r="G15" s="1590"/>
      <c r="H15" s="1591"/>
      <c r="J15" s="1536"/>
      <c r="K15" s="1536"/>
    </row>
    <row r="16" spans="1:17" ht="14.25" customHeight="1">
      <c r="D16" s="1592"/>
      <c r="E16" s="2290"/>
      <c r="F16" s="2290"/>
      <c r="G16" s="2290"/>
      <c r="H16" s="2290"/>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2B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xr:uid="{00000000-0002-0000-2B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7EF79-529E-B9F9-84D5-369967A42D2A}">
  <sheetPr>
    <tabColor theme="2" tint="-9.9978637043366805E-2"/>
  </sheetPr>
  <dimension ref="A1:U29"/>
  <sheetViews>
    <sheetView showGridLines="0" topLeftCell="C4" zoomScale="90" workbookViewId="0"/>
  </sheetViews>
  <sheetFormatPr defaultColWidth="10.5703125" defaultRowHeight="15" customHeight="1"/>
  <cols>
    <col min="1" max="1" width="9.140625" style="1920" hidden="1" customWidth="1"/>
    <col min="2" max="2" width="9.140625" style="1922" hidden="1" customWidth="1"/>
    <col min="3" max="3" width="4.7109375" style="2024" customWidth="1"/>
    <col min="4" max="4" width="6.28515625" style="1922" customWidth="1"/>
    <col min="5" max="5" width="47.85546875" style="1922" customWidth="1"/>
    <col min="6" max="6" width="9.5703125" style="1922" customWidth="1"/>
    <col min="7" max="7" width="25.7109375" style="1823" hidden="1" customWidth="1"/>
    <col min="8" max="8" width="34" style="1823" hidden="1" customWidth="1"/>
    <col min="9" max="9" width="25.7109375" style="1922" customWidth="1"/>
    <col min="10" max="10" width="34" style="1922" customWidth="1"/>
    <col min="11" max="11" width="50.85546875" style="1824" customWidth="1"/>
    <col min="12" max="20" width="10.5703125" style="1922"/>
    <col min="21" max="21" width="10.5703125" style="2023"/>
  </cols>
  <sheetData>
    <row r="1" spans="1:21" s="1824" customFormat="1" ht="15" hidden="1" customHeight="1">
      <c r="C1" s="593"/>
      <c r="G1" s="351">
        <v>4</v>
      </c>
      <c r="I1" s="351">
        <v>4</v>
      </c>
      <c r="U1" s="353"/>
    </row>
    <row r="2" spans="1:21" s="1825" customFormat="1" ht="15" hidden="1" customHeight="1">
      <c r="A2" s="289"/>
      <c r="C2" s="97"/>
      <c r="D2" s="271"/>
      <c r="E2" s="594"/>
      <c r="F2" s="448"/>
      <c r="G2" s="537"/>
      <c r="H2" s="537"/>
      <c r="I2" s="537"/>
      <c r="J2" s="537"/>
      <c r="U2" s="595"/>
    </row>
    <row r="3" spans="1:21" s="1824" customFormat="1" ht="15" hidden="1" customHeight="1">
      <c r="C3" s="593"/>
      <c r="U3" s="353"/>
    </row>
    <row r="4" spans="1:21" ht="15" customHeight="1">
      <c r="C4" s="97"/>
      <c r="D4" s="435"/>
      <c r="E4" s="435"/>
      <c r="F4" s="435"/>
      <c r="G4" s="435"/>
      <c r="H4" s="435"/>
      <c r="I4" s="435"/>
      <c r="J4" s="435"/>
    </row>
    <row r="5" spans="1:21" ht="63" customHeight="1">
      <c r="C5" s="97"/>
      <c r="D5" s="2254" t="s">
        <v>1067</v>
      </c>
      <c r="E5" s="2254"/>
      <c r="F5" s="2254"/>
      <c r="G5" s="2254"/>
      <c r="H5" s="2254"/>
      <c r="I5" s="2254"/>
      <c r="J5" s="2254"/>
    </row>
    <row r="6" spans="1:21" ht="15" customHeight="1">
      <c r="C6" s="97"/>
      <c r="D6" s="2200" t="str">
        <f>IF(org=0,"Не определено",org)</f>
        <v>ПАО "Юнипро"</v>
      </c>
      <c r="E6" s="2200"/>
      <c r="F6" s="2200"/>
      <c r="G6" s="2200"/>
      <c r="H6" s="2200"/>
      <c r="I6" s="2200"/>
      <c r="J6" s="2200"/>
      <c r="K6" s="462"/>
    </row>
    <row r="7" spans="1:21" ht="15" customHeight="1">
      <c r="C7" s="97"/>
      <c r="D7" s="669"/>
      <c r="E7" s="435"/>
      <c r="F7" s="435"/>
      <c r="G7" s="462">
        <v>22</v>
      </c>
      <c r="I7" s="462">
        <v>1</v>
      </c>
      <c r="J7" s="669"/>
    </row>
    <row r="8" spans="1:21" s="1823" customFormat="1" ht="0.75" customHeight="1">
      <c r="A8" s="676"/>
      <c r="C8" s="97"/>
      <c r="D8" s="435"/>
      <c r="E8" s="435"/>
      <c r="F8" s="435"/>
      <c r="G8" s="462"/>
      <c r="H8" s="669"/>
      <c r="I8" s="462" t="s">
        <v>116</v>
      </c>
      <c r="J8" s="669"/>
      <c r="K8" s="351"/>
      <c r="U8" s="596"/>
    </row>
    <row r="9" spans="1:21" ht="15" customHeight="1">
      <c r="C9" s="97"/>
      <c r="D9" s="630"/>
      <c r="E9" s="2344" t="s">
        <v>104</v>
      </c>
      <c r="F9" s="2345"/>
      <c r="G9" s="2365" t="str">
        <f>IF(G8="","",INDEX(DIFFERENTIATION_UNMERGE_VD,MATCH(G8,DIFFERENTIATION_ID_DIFF,0)))</f>
        <v/>
      </c>
      <c r="H9" s="2366"/>
      <c r="I9" s="2365">
        <f>IF(I8="","",INDEX(DIFFERENTIATION_UNMERGE_VD,MATCH(I8,DIFFERENTIATION_ID_DIFF,0)))</f>
        <v>0</v>
      </c>
      <c r="J9" s="2366"/>
      <c r="K9" s="2199" t="s">
        <v>290</v>
      </c>
    </row>
    <row r="10" spans="1:21" s="1823" customFormat="1" ht="15" customHeight="1">
      <c r="A10" s="676"/>
      <c r="C10" s="97"/>
      <c r="D10" s="630"/>
      <c r="E10" s="2344" t="s">
        <v>548</v>
      </c>
      <c r="F10" s="2345"/>
      <c r="G10" s="2365" t="str">
        <f>IF(G8="","",INDEX(DIFFERENTIATION_UNMERGE_AREA,MATCH(G8,DIFFERENTIATION_ID_DIFF,0)))</f>
        <v/>
      </c>
      <c r="H10" s="2366"/>
      <c r="I10" s="2365" t="str">
        <f>IF(I8="","",INDEX(DIFFERENTIATION_UNMERGE_AREA,MATCH(I8,DIFFERENTIATION_ID_DIFF,0)))</f>
        <v/>
      </c>
      <c r="J10" s="2366"/>
      <c r="K10" s="2218"/>
      <c r="U10" s="596"/>
    </row>
    <row r="11" spans="1:21" s="1823" customFormat="1" ht="15" customHeight="1">
      <c r="A11" s="676"/>
      <c r="C11" s="97"/>
      <c r="D11" s="630"/>
      <c r="E11" s="2344" t="s">
        <v>549</v>
      </c>
      <c r="F11" s="2345"/>
      <c r="G11" s="2365" t="str">
        <f>IF(G8="","",INDEX(DIFFERENTIATION_UNMERGE_SYSTEM,MATCH(G8,DIFFERENTIATION_ID_DIFF,0)))</f>
        <v/>
      </c>
      <c r="H11" s="2366"/>
      <c r="I11" s="2365" t="str">
        <f>IF(I8="","",INDEX(DIFFERENTIATION_UNMERGE_SYSTEM,MATCH(I8,DIFFERENTIATION_ID_DIFF,0)))</f>
        <v>без дифференциации</v>
      </c>
      <c r="J11" s="2366"/>
      <c r="K11" s="2218"/>
      <c r="U11" s="596"/>
    </row>
    <row r="12" spans="1:21" s="1823" customFormat="1" ht="15" customHeight="1">
      <c r="A12" s="676"/>
      <c r="C12" s="97"/>
      <c r="D12" s="2346" t="s">
        <v>289</v>
      </c>
      <c r="E12" s="2347"/>
      <c r="F12" s="2347"/>
      <c r="G12" s="800"/>
      <c r="H12" s="800"/>
      <c r="I12" s="800"/>
      <c r="J12" s="800"/>
      <c r="K12" s="2218"/>
      <c r="U12" s="596"/>
    </row>
    <row r="13" spans="1:21" ht="33.75" customHeight="1">
      <c r="C13" s="97"/>
      <c r="D13" s="722" t="s">
        <v>87</v>
      </c>
      <c r="E13" s="724" t="s">
        <v>291</v>
      </c>
      <c r="F13" s="724" t="s">
        <v>550</v>
      </c>
      <c r="G13" s="725" t="s">
        <v>292</v>
      </c>
      <c r="H13" s="724" t="s">
        <v>381</v>
      </c>
      <c r="I13" s="725" t="s">
        <v>292</v>
      </c>
      <c r="J13" s="724" t="s">
        <v>381</v>
      </c>
      <c r="K13" s="2249"/>
    </row>
    <row r="14" spans="1:21" ht="15" hidden="1" customHeight="1">
      <c r="C14" s="97"/>
      <c r="D14" s="516" t="s">
        <v>108</v>
      </c>
      <c r="E14" s="516" t="s">
        <v>109</v>
      </c>
      <c r="F14" s="516" t="s">
        <v>89</v>
      </c>
      <c r="G14" s="580" t="str">
        <f>G1&amp;".1"</f>
        <v>4.1</v>
      </c>
      <c r="H14" s="580"/>
      <c r="I14" s="580" t="str">
        <f>I1&amp;".1"</f>
        <v>4.1</v>
      </c>
      <c r="J14" s="580"/>
      <c r="K14" s="207"/>
    </row>
    <row r="15" spans="1:21" ht="22.5" hidden="1" customHeight="1">
      <c r="A15" s="431"/>
      <c r="C15" s="452"/>
      <c r="D15" s="447">
        <v>1</v>
      </c>
      <c r="E15" s="598" t="s">
        <v>707</v>
      </c>
      <c r="F15" s="447" t="s">
        <v>708</v>
      </c>
      <c r="G15" s="599"/>
      <c r="H15" s="599"/>
      <c r="I15" s="599"/>
      <c r="J15" s="599"/>
      <c r="K15" s="207" t="s">
        <v>709</v>
      </c>
    </row>
    <row r="16" spans="1:21" ht="22.5" hidden="1" customHeight="1">
      <c r="A16" s="431"/>
      <c r="C16" s="452"/>
      <c r="D16" s="447">
        <v>2</v>
      </c>
      <c r="E16" s="198" t="s">
        <v>710</v>
      </c>
      <c r="F16" s="447" t="s">
        <v>711</v>
      </c>
      <c r="G16" s="599"/>
      <c r="H16" s="599"/>
      <c r="I16" s="599"/>
      <c r="J16" s="599"/>
      <c r="K16" s="207" t="s">
        <v>712</v>
      </c>
    </row>
    <row r="17" spans="1:11" ht="123.75" hidden="1" customHeight="1">
      <c r="A17" s="431"/>
      <c r="C17" s="452"/>
      <c r="D17" s="447">
        <v>3</v>
      </c>
      <c r="E17" s="198" t="s">
        <v>1068</v>
      </c>
      <c r="F17" s="447" t="s">
        <v>295</v>
      </c>
      <c r="G17" s="599"/>
      <c r="H17" s="599"/>
      <c r="I17" s="599"/>
      <c r="J17" s="599"/>
      <c r="K17" s="207" t="s">
        <v>1069</v>
      </c>
    </row>
    <row r="18" spans="1:11" ht="45" customHeight="1">
      <c r="A18" s="431"/>
      <c r="C18" s="452"/>
      <c r="D18" s="447">
        <v>4</v>
      </c>
      <c r="E18" s="198" t="s">
        <v>713</v>
      </c>
      <c r="F18" s="447" t="s">
        <v>295</v>
      </c>
      <c r="G18" s="726" t="s">
        <v>295</v>
      </c>
      <c r="H18" s="727" t="s">
        <v>295</v>
      </c>
      <c r="I18" s="447" t="s">
        <v>295</v>
      </c>
      <c r="J18" s="503" t="s">
        <v>295</v>
      </c>
      <c r="K18" s="207" t="s">
        <v>1070</v>
      </c>
    </row>
    <row r="19" spans="1:11" ht="33.75" customHeight="1">
      <c r="A19" s="431"/>
      <c r="C19" s="452"/>
      <c r="D19" s="464" t="s">
        <v>651</v>
      </c>
      <c r="E19" s="484" t="s">
        <v>715</v>
      </c>
      <c r="F19" s="447" t="s">
        <v>716</v>
      </c>
      <c r="G19" s="734"/>
      <c r="H19" s="37"/>
      <c r="I19" s="734"/>
      <c r="J19" s="735"/>
      <c r="K19" s="600"/>
    </row>
    <row r="20" spans="1:11" ht="33.75" customHeight="1">
      <c r="A20" s="431"/>
      <c r="C20" s="452"/>
      <c r="D20" s="464" t="s">
        <v>694</v>
      </c>
      <c r="E20" s="484" t="s">
        <v>717</v>
      </c>
      <c r="F20" s="447" t="s">
        <v>718</v>
      </c>
      <c r="G20" s="734"/>
      <c r="H20" s="37"/>
      <c r="I20" s="734"/>
      <c r="J20" s="37"/>
      <c r="K20" s="600"/>
    </row>
    <row r="21" spans="1:11" ht="45" customHeight="1">
      <c r="A21" s="431"/>
      <c r="C21" s="452"/>
      <c r="D21" s="464" t="s">
        <v>697</v>
      </c>
      <c r="E21" s="484" t="s">
        <v>719</v>
      </c>
      <c r="F21" s="447" t="s">
        <v>555</v>
      </c>
      <c r="G21" s="601"/>
      <c r="H21" s="37"/>
      <c r="I21" s="601"/>
      <c r="J21" s="37"/>
      <c r="K21" s="600"/>
    </row>
    <row r="22" spans="1:11" ht="67.5" hidden="1" customHeight="1">
      <c r="A22" s="431"/>
      <c r="C22" s="452"/>
      <c r="D22" s="447">
        <v>5</v>
      </c>
      <c r="E22" s="198" t="s">
        <v>1071</v>
      </c>
      <c r="F22" s="447" t="s">
        <v>542</v>
      </c>
      <c r="G22" s="602"/>
      <c r="H22" s="603"/>
      <c r="I22" s="602"/>
      <c r="J22" s="603"/>
      <c r="K22" s="207" t="s">
        <v>1072</v>
      </c>
    </row>
    <row r="23" spans="1:11" ht="33.75" hidden="1" customHeight="1">
      <c r="C23" s="382"/>
      <c r="D23" s="447">
        <v>6</v>
      </c>
      <c r="E23" s="198" t="s">
        <v>1073</v>
      </c>
      <c r="F23" s="447" t="s">
        <v>1074</v>
      </c>
      <c r="G23" s="602"/>
      <c r="H23" s="602"/>
      <c r="I23" s="602"/>
      <c r="J23" s="602"/>
      <c r="K23" s="207" t="s">
        <v>1075</v>
      </c>
    </row>
    <row r="29" spans="1:11" ht="15" customHeight="1">
      <c r="J29" s="736"/>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2C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1000000}"/>
    <dataValidation type="whole" allowBlank="1" showErrorMessage="1" errorTitle="Ошибка" error="Допускается ввод только неотрицательных целых чисел!" sqref="G19:G20 I19:I20" xr:uid="{00000000-0002-0000-2C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2C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AFEB-7633-CEFD-6B53-C56E10B2A90E}">
  <sheetPr>
    <tabColor rgb="FFEAEBEE"/>
    <pageSetUpPr fitToPage="1"/>
  </sheetPr>
  <dimension ref="A1:L15"/>
  <sheetViews>
    <sheetView showGridLines="0" topLeftCell="C4" zoomScale="90" workbookViewId="0"/>
  </sheetViews>
  <sheetFormatPr defaultColWidth="9.140625" defaultRowHeight="14.25" customHeight="1"/>
  <cols>
    <col min="1" max="1" width="9.140625" style="2058" hidden="1"/>
    <col min="2" max="2" width="9.140625" style="2059" hidden="1"/>
    <col min="3" max="3" width="3.7109375" style="2060" customWidth="1"/>
    <col min="4" max="4" width="7" style="2063" customWidth="1"/>
    <col min="5" max="5" width="23.140625" style="2063" customWidth="1"/>
    <col min="6" max="6" width="16" style="2063" customWidth="1"/>
    <col min="7" max="7" width="14.85546875" style="2063" customWidth="1"/>
    <col min="8" max="8" width="47.85546875" style="2063" customWidth="1"/>
    <col min="9" max="9" width="115.7109375" style="2063" customWidth="1"/>
    <col min="10" max="10" width="3.7109375" style="2063" customWidth="1"/>
    <col min="11" max="12" width="9.140625" style="2063"/>
  </cols>
  <sheetData>
    <row r="1" spans="1:12" ht="14.25" hidden="1" customHeight="1"/>
    <row r="2" spans="1:12" ht="14.25" hidden="1" customHeight="1"/>
    <row r="3" spans="1:12" ht="14.25" hidden="1" customHeight="1"/>
    <row r="4" spans="1:12" ht="3" customHeight="1"/>
    <row r="5" spans="1:12" s="1834" customFormat="1" ht="30" customHeight="1">
      <c r="A5" s="45"/>
      <c r="C5" s="24"/>
      <c r="D5" s="2119" t="s">
        <v>1076</v>
      </c>
      <c r="E5" s="2119"/>
      <c r="F5" s="2119"/>
      <c r="G5" s="2119"/>
      <c r="H5" s="2119"/>
      <c r="I5" s="183"/>
    </row>
    <row r="6" spans="1:12" ht="3" hidden="1" customHeight="1">
      <c r="D6" s="49"/>
      <c r="E6" s="49"/>
      <c r="F6" s="49"/>
      <c r="G6" s="49"/>
      <c r="H6" s="49"/>
      <c r="I6" s="49"/>
    </row>
    <row r="7" spans="1:12" s="2058" customFormat="1" ht="14.25" customHeight="1">
      <c r="B7" s="46"/>
      <c r="C7" s="47"/>
      <c r="D7" s="50"/>
      <c r="E7" s="50"/>
      <c r="F7" s="50"/>
      <c r="G7" s="50"/>
      <c r="H7" s="669"/>
      <c r="I7" s="50"/>
      <c r="J7" s="51"/>
    </row>
    <row r="8" spans="1:12" ht="14.25" customHeight="1">
      <c r="D8" s="2229" t="s">
        <v>289</v>
      </c>
      <c r="E8" s="2229"/>
      <c r="F8" s="2229"/>
      <c r="G8" s="2229"/>
      <c r="H8" s="2229"/>
      <c r="I8" s="2229" t="s">
        <v>290</v>
      </c>
    </row>
    <row r="9" spans="1:12" ht="27.75" customHeight="1">
      <c r="D9" s="2229" t="s">
        <v>87</v>
      </c>
      <c r="E9" s="2229" t="s">
        <v>1077</v>
      </c>
      <c r="F9" s="2229"/>
      <c r="G9" s="2229"/>
      <c r="H9" s="2229"/>
      <c r="I9" s="2229"/>
    </row>
    <row r="10" spans="1:12" ht="22.5" customHeight="1">
      <c r="D10" s="2229"/>
      <c r="E10" s="54" t="s">
        <v>1078</v>
      </c>
      <c r="F10" s="54" t="s">
        <v>1079</v>
      </c>
      <c r="G10" s="54" t="s">
        <v>1080</v>
      </c>
      <c r="H10" s="54" t="s">
        <v>381</v>
      </c>
      <c r="I10" s="2229"/>
    </row>
    <row r="11" spans="1:12" ht="12" hidden="1" customHeight="1">
      <c r="D11" s="21" t="s">
        <v>108</v>
      </c>
      <c r="E11" s="21" t="s">
        <v>90</v>
      </c>
      <c r="F11" s="21" t="s">
        <v>110</v>
      </c>
      <c r="G11" s="21" t="s">
        <v>91</v>
      </c>
      <c r="H11" s="21" t="s">
        <v>92</v>
      </c>
      <c r="I11" s="21" t="s">
        <v>111</v>
      </c>
    </row>
    <row r="12" spans="1:12" s="2061" customFormat="1" ht="24.75" customHeight="1">
      <c r="A12" s="69" t="s">
        <v>89</v>
      </c>
      <c r="B12" s="52" t="s">
        <v>24</v>
      </c>
      <c r="C12" s="53"/>
      <c r="D12" s="55" t="s">
        <v>108</v>
      </c>
      <c r="E12" s="315"/>
      <c r="F12" s="315"/>
      <c r="G12" s="1644" t="s">
        <v>24</v>
      </c>
      <c r="H12" s="316"/>
      <c r="I12" s="2185" t="s">
        <v>1081</v>
      </c>
      <c r="K12" s="190"/>
      <c r="L12" s="191"/>
    </row>
    <row r="13" spans="1:12" ht="15" customHeight="1">
      <c r="A13" s="48"/>
      <c r="B13" s="48"/>
      <c r="C13" s="48"/>
      <c r="D13" s="40"/>
      <c r="E13" s="57" t="s">
        <v>455</v>
      </c>
      <c r="F13" s="56"/>
      <c r="G13" s="56"/>
      <c r="H13" s="135"/>
      <c r="I13" s="2187"/>
    </row>
    <row r="14" spans="1:12" ht="3" customHeight="1">
      <c r="A14" s="48"/>
      <c r="B14" s="48"/>
      <c r="C14" s="48"/>
    </row>
    <row r="15" spans="1:12" ht="27.75" customHeight="1">
      <c r="E15" s="2423" t="s">
        <v>1082</v>
      </c>
      <c r="F15" s="2423"/>
      <c r="G15" s="2423"/>
      <c r="H15" s="2423"/>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xr:uid="{00000000-0002-0000-2D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2D00-000002000000}"/>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74DFE-E07D-31F1-90FE-266A73F61B4F}">
  <sheetPr>
    <tabColor rgb="FFCCCCFF"/>
    <pageSetUpPr fitToPage="1"/>
  </sheetPr>
  <dimension ref="A1:I15"/>
  <sheetViews>
    <sheetView showGridLines="0" topLeftCell="C6" zoomScale="120" workbookViewId="0">
      <selection activeCell="E28" sqref="E28"/>
    </sheetView>
  </sheetViews>
  <sheetFormatPr defaultColWidth="9.140625" defaultRowHeight="14.25" customHeight="1"/>
  <cols>
    <col min="1" max="2" width="9.140625" style="2064" hidden="1"/>
    <col min="3" max="3" width="3.7109375" style="2065" customWidth="1"/>
    <col min="4" max="4" width="6.28515625" style="2064" customWidth="1"/>
    <col min="5" max="5" width="94.85546875" style="2064" customWidth="1"/>
    <col min="6" max="9" width="9.140625" style="2064"/>
  </cols>
  <sheetData>
    <row r="1" spans="3:9" ht="14.25" hidden="1" customHeight="1"/>
    <row r="2" spans="3:9" ht="14.25" hidden="1" customHeight="1"/>
    <row r="3" spans="3:9" ht="14.25" hidden="1" customHeight="1"/>
    <row r="4" spans="3:9" ht="14.25" hidden="1" customHeight="1"/>
    <row r="5" spans="3:9" ht="14.25" hidden="1" customHeight="1"/>
    <row r="6" spans="3:9" ht="3" customHeight="1">
      <c r="C6" s="25"/>
      <c r="D6" s="6"/>
      <c r="E6" s="6"/>
    </row>
    <row r="7" spans="3:9" ht="22.5" customHeight="1">
      <c r="C7" s="25"/>
      <c r="D7" s="2424" t="s">
        <v>1083</v>
      </c>
      <c r="E7" s="2425"/>
      <c r="F7" s="185"/>
    </row>
    <row r="8" spans="3:9" ht="3" customHeight="1">
      <c r="C8" s="25"/>
      <c r="D8" s="6"/>
      <c r="E8" s="6"/>
    </row>
    <row r="9" spans="3:9" ht="15.75" customHeight="1">
      <c r="C9" s="25"/>
      <c r="D9" s="36" t="s">
        <v>87</v>
      </c>
      <c r="E9" s="178" t="s">
        <v>1084</v>
      </c>
    </row>
    <row r="10" spans="3:9" ht="0.75" customHeight="1">
      <c r="C10" s="25"/>
      <c r="D10" s="21"/>
      <c r="E10" s="21"/>
    </row>
    <row r="11" spans="3:9" ht="11.25" hidden="1" customHeight="1">
      <c r="C11" s="25"/>
      <c r="D11" s="74">
        <v>0</v>
      </c>
      <c r="E11" s="179"/>
    </row>
    <row r="12" spans="3:9" ht="23.25" customHeight="1">
      <c r="C12" s="62"/>
      <c r="D12" s="43">
        <v>1</v>
      </c>
      <c r="E12" s="308" t="s">
        <v>1085</v>
      </c>
    </row>
    <row r="13" spans="3:9" ht="12" customHeight="1">
      <c r="C13" s="25"/>
      <c r="D13" s="180"/>
      <c r="E13" s="181" t="s">
        <v>1086</v>
      </c>
    </row>
    <row r="14" spans="3:9" ht="3" customHeight="1"/>
    <row r="15" spans="3:9" ht="22.5" customHeight="1">
      <c r="C15" s="63"/>
      <c r="D15" s="2423" t="s">
        <v>1087</v>
      </c>
      <c r="E15" s="2423"/>
      <c r="F15" s="64"/>
      <c r="G15" s="64"/>
      <c r="H15" s="64"/>
      <c r="I15" s="64"/>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2E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F04EC-9B19-D024-934F-78451261477A}">
  <dimension ref="A1:I24"/>
  <sheetViews>
    <sheetView showGridLines="0" topLeftCell="C4" zoomScale="90" workbookViewId="0"/>
  </sheetViews>
  <sheetFormatPr defaultColWidth="9.140625" defaultRowHeight="11.25" customHeight="1"/>
  <cols>
    <col min="1" max="2" width="15" style="1911" hidden="1" customWidth="1"/>
    <col min="3" max="3" width="3.7109375" style="1913" customWidth="1"/>
    <col min="4" max="4" width="6.85546875" style="1914" customWidth="1"/>
    <col min="5" max="5" width="52.28515625" style="1913" customWidth="1"/>
    <col min="6" max="6" width="48.85546875" style="1913" customWidth="1"/>
    <col min="7" max="7" width="93.42578125" style="1913" customWidth="1"/>
    <col min="8" max="8" width="9.140625" style="1913"/>
    <col min="9" max="9" width="65" style="1913" customWidth="1"/>
  </cols>
  <sheetData>
    <row r="1" spans="1:9" ht="11.25" hidden="1" customHeight="1">
      <c r="A1" s="427" t="s">
        <v>288</v>
      </c>
    </row>
    <row r="2" spans="1:9" ht="22.5" hidden="1" customHeight="1">
      <c r="A2" s="428"/>
      <c r="B2" s="428"/>
      <c r="C2" s="385"/>
      <c r="D2" s="1430"/>
      <c r="E2" s="1436"/>
      <c r="F2" s="1464"/>
      <c r="H2" s="402"/>
    </row>
    <row r="3" spans="1:9" ht="11.25" hidden="1" customHeight="1"/>
    <row r="4" spans="1:9" ht="11.25" customHeight="1">
      <c r="A4" s="1465"/>
      <c r="B4" s="1465"/>
    </row>
    <row r="5" spans="1:9" ht="24" customHeight="1">
      <c r="D5" s="2136"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холодного водоснабжения (далее – орган регулирования тарифов)</v>
      </c>
      <c r="E5" s="2137"/>
      <c r="F5" s="2138"/>
      <c r="I5" s="634"/>
    </row>
    <row r="6" spans="1:9" ht="17.25" customHeight="1">
      <c r="D6" s="2200" t="str">
        <f>IF(region_name=0,"Не определено",region_name)</f>
        <v>Красноярский край</v>
      </c>
      <c r="E6" s="2200"/>
      <c r="F6" s="2200"/>
      <c r="I6" s="634"/>
    </row>
    <row r="7" spans="1:9" s="1910" customFormat="1" ht="11.25" customHeight="1">
      <c r="A7" s="427"/>
      <c r="B7" s="427"/>
      <c r="D7" s="633"/>
      <c r="E7" s="633"/>
      <c r="F7" s="669"/>
      <c r="G7" s="633"/>
    </row>
    <row r="8" spans="1:9" ht="11.25" hidden="1" customHeight="1">
      <c r="A8" s="428"/>
      <c r="B8" s="428"/>
      <c r="C8" s="385"/>
      <c r="D8" s="390"/>
      <c r="E8" s="2227"/>
      <c r="F8" s="2227"/>
    </row>
    <row r="9" spans="1:9" ht="11.25" customHeight="1">
      <c r="A9" s="428"/>
      <c r="B9" s="428"/>
      <c r="C9" s="385"/>
      <c r="D9" s="2223" t="s">
        <v>289</v>
      </c>
      <c r="E9" s="2224"/>
      <c r="F9" s="2224"/>
      <c r="G9" s="2228" t="s">
        <v>290</v>
      </c>
    </row>
    <row r="10" spans="1:9" ht="11.25" customHeight="1">
      <c r="A10" s="428"/>
      <c r="B10" s="428"/>
      <c r="C10" s="385"/>
      <c r="D10" s="1384" t="s">
        <v>87</v>
      </c>
      <c r="E10" s="1386" t="s">
        <v>291</v>
      </c>
      <c r="F10" s="1386" t="s">
        <v>292</v>
      </c>
      <c r="G10" s="2229"/>
    </row>
    <row r="11" spans="1:9" ht="0.75" customHeight="1">
      <c r="A11" s="428"/>
      <c r="B11" s="428"/>
      <c r="C11" s="385"/>
      <c r="D11" s="391"/>
      <c r="E11" s="391"/>
      <c r="F11" s="391"/>
      <c r="G11" s="391"/>
    </row>
    <row r="12" spans="1:9" ht="22.5" customHeight="1">
      <c r="A12" s="428"/>
      <c r="B12" s="428"/>
      <c r="C12" s="385"/>
      <c r="D12" s="1430">
        <v>1</v>
      </c>
      <c r="E12" s="401" t="s">
        <v>1088</v>
      </c>
      <c r="F12" s="1769" t="str">
        <f>IF(org="","",org)</f>
        <v>ПАО "Юнипро"</v>
      </c>
      <c r="G12" s="401" t="s">
        <v>1089</v>
      </c>
      <c r="H12" s="1442"/>
    </row>
    <row r="13" spans="1:9" ht="18.75" customHeight="1">
      <c r="A13" s="428"/>
      <c r="B13" s="428"/>
      <c r="C13" s="385"/>
      <c r="D13" s="1430">
        <v>2</v>
      </c>
      <c r="E13" s="1437" t="s">
        <v>1090</v>
      </c>
      <c r="F13" s="1431" t="s">
        <v>295</v>
      </c>
      <c r="G13" s="401"/>
      <c r="H13" s="1442"/>
    </row>
    <row r="14" spans="1:9" ht="18.75" customHeight="1">
      <c r="A14" s="428"/>
      <c r="B14" s="428"/>
      <c r="C14" s="385"/>
      <c r="D14" s="1433" t="s">
        <v>606</v>
      </c>
      <c r="E14" s="1434" t="s">
        <v>1091</v>
      </c>
      <c r="F14" s="1436"/>
      <c r="G14" s="1435" t="s">
        <v>1092</v>
      </c>
      <c r="H14" s="1442"/>
    </row>
    <row r="15" spans="1:9" ht="18.75" customHeight="1">
      <c r="A15" s="428"/>
      <c r="B15" s="428"/>
      <c r="C15" s="385"/>
      <c r="D15" s="1433" t="s">
        <v>296</v>
      </c>
      <c r="E15" s="1434" t="s">
        <v>1093</v>
      </c>
      <c r="F15" s="1436"/>
      <c r="G15" s="1435" t="s">
        <v>1094</v>
      </c>
      <c r="H15" s="1442"/>
    </row>
    <row r="16" spans="1:9" ht="36.75" customHeight="1">
      <c r="A16" s="428"/>
      <c r="B16" s="428"/>
      <c r="C16" s="385"/>
      <c r="D16" s="1433" t="s">
        <v>299</v>
      </c>
      <c r="E16" s="1432" t="s">
        <v>1095</v>
      </c>
      <c r="F16" s="1440"/>
      <c r="G16" s="401" t="s">
        <v>1096</v>
      </c>
      <c r="H16" s="1442"/>
    </row>
    <row r="17" spans="1:9" ht="45" customHeight="1">
      <c r="A17" s="428"/>
      <c r="B17" s="428"/>
      <c r="C17" s="385"/>
      <c r="D17" s="1430">
        <v>3</v>
      </c>
      <c r="E17" s="1437" t="s">
        <v>1097</v>
      </c>
      <c r="F17" s="1436"/>
      <c r="G17" s="401" t="s">
        <v>1098</v>
      </c>
      <c r="H17" s="1442"/>
    </row>
    <row r="18" spans="1:9" ht="45" customHeight="1">
      <c r="A18" s="1385">
        <v>1</v>
      </c>
      <c r="B18" s="428"/>
      <c r="C18" s="1387"/>
      <c r="D18" s="1430" t="s">
        <v>90</v>
      </c>
      <c r="E18" s="1437" t="s">
        <v>1099</v>
      </c>
      <c r="F18" s="1436"/>
      <c r="G18" s="401" t="s">
        <v>1098</v>
      </c>
      <c r="H18" s="1442"/>
      <c r="I18" s="765"/>
    </row>
    <row r="19" spans="1:9" ht="22.5" customHeight="1">
      <c r="A19" s="428"/>
      <c r="B19" s="428"/>
      <c r="C19" s="385"/>
      <c r="D19" s="1430" t="s">
        <v>110</v>
      </c>
      <c r="E19" s="1437" t="s">
        <v>1100</v>
      </c>
      <c r="F19" s="1431" t="s">
        <v>295</v>
      </c>
      <c r="G19" s="2426" t="s">
        <v>1101</v>
      </c>
      <c r="H19" s="402"/>
    </row>
    <row r="20" spans="1:9" s="2066" customFormat="1" ht="5.25" hidden="1" customHeight="1">
      <c r="A20" s="428"/>
      <c r="B20" s="428"/>
      <c r="C20" s="1439"/>
      <c r="D20" s="1438" t="s">
        <v>1014</v>
      </c>
      <c r="E20" s="921"/>
      <c r="F20" s="920"/>
      <c r="G20" s="2427"/>
    </row>
    <row r="21" spans="1:9" ht="15" customHeight="1">
      <c r="A21" s="428"/>
      <c r="B21" s="428"/>
      <c r="C21" s="385"/>
      <c r="D21" s="394"/>
      <c r="E21" s="349" t="s">
        <v>330</v>
      </c>
      <c r="F21" s="396"/>
      <c r="G21" s="2428"/>
      <c r="H21" s="1442"/>
    </row>
    <row r="22" spans="1:9" s="1911" customFormat="1" ht="24.75" customHeight="1">
      <c r="A22" s="428"/>
      <c r="B22" s="428"/>
      <c r="C22" s="428"/>
      <c r="D22" s="1430" t="s">
        <v>91</v>
      </c>
      <c r="E22" s="401" t="s">
        <v>1102</v>
      </c>
      <c r="F22" s="1436"/>
      <c r="G22" s="401" t="s">
        <v>1103</v>
      </c>
      <c r="H22" s="1441"/>
    </row>
    <row r="23" spans="1:9" s="1911" customFormat="1" ht="18.75" customHeight="1">
      <c r="A23" s="428"/>
      <c r="B23" s="428"/>
      <c r="C23" s="428"/>
      <c r="D23" s="1430" t="s">
        <v>92</v>
      </c>
      <c r="E23" s="1437" t="s">
        <v>1104</v>
      </c>
      <c r="F23" s="1440"/>
      <c r="G23" s="401" t="s">
        <v>1105</v>
      </c>
      <c r="H23" s="1441"/>
    </row>
    <row r="24" spans="1:9" ht="11.25" customHeight="1">
      <c r="A24" s="428"/>
      <c r="B24" s="428"/>
      <c r="C24" s="385"/>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xr:uid="{00000000-0002-0000-2F00-000000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A8597-DA39-3DCF-639A-52A0C2132767}">
  <dimension ref="A1:IT23"/>
  <sheetViews>
    <sheetView showGridLines="0" topLeftCell="D4" zoomScale="90" workbookViewId="0"/>
  </sheetViews>
  <sheetFormatPr defaultColWidth="9.140625" defaultRowHeight="14.25" customHeight="1"/>
  <cols>
    <col min="1" max="1" width="9.140625" style="1905" hidden="1"/>
    <col min="2" max="2" width="9.140625" style="1931" hidden="1"/>
    <col min="3" max="3" width="3.7109375" style="1905" hidden="1" customWidth="1"/>
    <col min="4" max="4" width="3.85546875" style="1921" customWidth="1"/>
    <col min="5" max="5" width="6.28515625" style="1905" customWidth="1"/>
    <col min="6" max="6" width="46.7109375" style="1905" customWidth="1"/>
    <col min="7" max="8" width="16.7109375" style="1905" customWidth="1"/>
    <col min="9" max="9" width="35.28515625" style="1905" customWidth="1"/>
    <col min="10" max="10" width="89.5703125" style="1905" customWidth="1"/>
    <col min="11" max="11" width="3.7109375" style="1830" customWidth="1"/>
    <col min="12" max="14" width="9.140625" style="1830"/>
    <col min="15" max="15" width="25.7109375" style="1827" customWidth="1"/>
    <col min="16" max="16" width="14.42578125" style="1830" customWidth="1"/>
    <col min="17" max="20" width="9.140625" style="1828"/>
    <col min="21" max="254" width="9.140625" style="1905"/>
  </cols>
  <sheetData>
    <row r="1" spans="1:254" ht="14.25" hidden="1" customHeight="1"/>
    <row r="2" spans="1:254" s="1831" customFormat="1" ht="22.5" hidden="1" customHeight="1">
      <c r="A2" s="748"/>
      <c r="B2" s="1060">
        <v>1</v>
      </c>
      <c r="C2" s="1060"/>
      <c r="D2" s="718"/>
      <c r="E2" s="1394"/>
      <c r="F2" s="1401"/>
      <c r="G2" s="1401"/>
      <c r="H2" s="1401"/>
      <c r="I2" s="1447"/>
      <c r="J2" s="148"/>
      <c r="K2" s="1444" t="e">
        <f ca="1">MERGEVALUE(F2)</f>
        <v>#NAME?</v>
      </c>
      <c r="L2" s="437"/>
      <c r="M2" s="437"/>
      <c r="N2" s="426" t="str">
        <f t="array" ref="N2">IF(ISERROR(MATCH(MID(O2,1,250),MID(note_ter,1,250),0)),"n","y")</f>
        <v>n</v>
      </c>
      <c r="O2" s="437"/>
      <c r="P2" s="426" t="str">
        <f>G2&amp;"("&amp;J2&amp;")"</f>
        <v>()</v>
      </c>
      <c r="Q2" s="1060"/>
      <c r="R2" s="1060"/>
      <c r="S2" s="353"/>
      <c r="T2" s="1060"/>
      <c r="U2" s="1060"/>
      <c r="V2" s="1060"/>
      <c r="W2" s="355"/>
      <c r="X2" s="355"/>
      <c r="Y2" s="352"/>
      <c r="Z2" s="352"/>
      <c r="AA2" s="352"/>
      <c r="AB2" s="352"/>
      <c r="AC2" s="352"/>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c r="BG2" s="352"/>
      <c r="BH2" s="352"/>
      <c r="BI2" s="352"/>
      <c r="BJ2" s="352"/>
      <c r="BK2" s="352"/>
      <c r="BL2" s="352"/>
      <c r="BM2" s="352"/>
      <c r="BN2" s="352"/>
      <c r="BO2" s="352"/>
      <c r="BP2" s="352"/>
      <c r="BQ2" s="352"/>
      <c r="BR2" s="352"/>
      <c r="BS2" s="352"/>
      <c r="BT2" s="355"/>
      <c r="BU2" s="355"/>
      <c r="BV2" s="355"/>
      <c r="BW2" s="355"/>
      <c r="BX2" s="355"/>
      <c r="BY2" s="355"/>
      <c r="BZ2" s="355"/>
      <c r="CA2" s="355"/>
      <c r="CB2" s="355"/>
      <c r="CC2" s="355"/>
    </row>
    <row r="3" spans="1:254" s="1820" customFormat="1" ht="5.25" hidden="1" customHeight="1">
      <c r="A3" s="422"/>
      <c r="D3" s="420"/>
      <c r="F3" s="165" t="s">
        <v>82</v>
      </c>
      <c r="G3" s="420" t="s">
        <v>83</v>
      </c>
      <c r="H3" s="420"/>
      <c r="I3" s="420"/>
      <c r="J3" s="147" t="s">
        <v>84</v>
      </c>
      <c r="K3" s="165" t="s">
        <v>82</v>
      </c>
      <c r="L3" s="165"/>
      <c r="M3" s="165"/>
      <c r="N3" s="165"/>
      <c r="O3" s="166"/>
      <c r="P3" s="165"/>
      <c r="Q3" s="165"/>
      <c r="R3" s="165"/>
      <c r="S3" s="165"/>
      <c r="T3" s="165"/>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Y3" s="147"/>
      <c r="CZ3" s="147"/>
      <c r="DA3" s="147"/>
      <c r="DB3" s="147"/>
      <c r="DC3" s="147"/>
      <c r="DD3" s="147"/>
      <c r="DE3" s="147"/>
      <c r="DF3" s="147"/>
      <c r="DG3" s="147"/>
      <c r="DH3" s="147"/>
      <c r="DI3" s="147"/>
      <c r="DJ3" s="147"/>
      <c r="DK3" s="147"/>
      <c r="DL3" s="147"/>
      <c r="DM3" s="147"/>
      <c r="DN3" s="147"/>
      <c r="DO3" s="147"/>
      <c r="DP3" s="147"/>
      <c r="DQ3" s="147"/>
      <c r="DR3" s="147"/>
      <c r="DS3" s="147"/>
      <c r="DT3" s="147"/>
      <c r="DU3" s="147"/>
      <c r="DV3" s="147"/>
      <c r="DW3" s="147"/>
      <c r="DX3" s="147"/>
      <c r="DY3" s="147"/>
      <c r="DZ3" s="147"/>
      <c r="EA3" s="147"/>
      <c r="EB3" s="147"/>
      <c r="EC3" s="147"/>
      <c r="ED3" s="147"/>
      <c r="EE3" s="147"/>
      <c r="EF3" s="147"/>
      <c r="EG3" s="147"/>
      <c r="EH3" s="147"/>
      <c r="EI3" s="147"/>
      <c r="EJ3" s="147"/>
      <c r="EK3" s="147"/>
      <c r="EL3" s="147"/>
      <c r="EM3" s="147"/>
      <c r="EN3" s="147"/>
      <c r="EO3" s="147"/>
      <c r="EP3" s="147"/>
      <c r="EQ3" s="147"/>
      <c r="ER3" s="147"/>
      <c r="ES3" s="147"/>
      <c r="ET3" s="147"/>
      <c r="EU3" s="147"/>
      <c r="EV3" s="147"/>
      <c r="EW3" s="147"/>
      <c r="EX3" s="147"/>
      <c r="EY3" s="147"/>
      <c r="EZ3" s="147"/>
      <c r="FA3" s="147"/>
      <c r="FB3" s="147"/>
      <c r="FC3" s="147"/>
      <c r="FD3" s="147"/>
      <c r="FE3" s="147"/>
      <c r="FF3" s="147"/>
      <c r="FG3" s="147"/>
      <c r="FH3" s="147"/>
      <c r="FI3" s="147"/>
      <c r="FJ3" s="147"/>
      <c r="FK3" s="147"/>
      <c r="FL3" s="147"/>
      <c r="FM3" s="147"/>
      <c r="FN3" s="147"/>
      <c r="FO3" s="147"/>
      <c r="FP3" s="147"/>
      <c r="FQ3" s="147"/>
      <c r="FR3" s="147"/>
      <c r="FS3" s="147"/>
      <c r="FT3" s="147"/>
      <c r="FU3" s="147"/>
      <c r="FV3" s="147"/>
      <c r="FW3" s="147"/>
      <c r="FX3" s="147"/>
      <c r="FY3" s="147"/>
      <c r="FZ3" s="147"/>
      <c r="GA3" s="147"/>
      <c r="GB3" s="147"/>
      <c r="GC3" s="147"/>
      <c r="GD3" s="147"/>
      <c r="GE3" s="147"/>
      <c r="GF3" s="147"/>
      <c r="GG3" s="147"/>
      <c r="GH3" s="147"/>
      <c r="GI3" s="147"/>
      <c r="GJ3" s="147"/>
      <c r="GK3" s="147"/>
      <c r="GL3" s="147"/>
      <c r="GM3" s="147"/>
      <c r="GN3" s="147"/>
      <c r="GO3" s="147"/>
      <c r="GP3" s="147"/>
      <c r="GQ3" s="147"/>
      <c r="GR3" s="147"/>
      <c r="GS3" s="147"/>
      <c r="GT3" s="147"/>
      <c r="GU3" s="147"/>
      <c r="GV3" s="147"/>
      <c r="GW3" s="147"/>
      <c r="GX3" s="147"/>
      <c r="GY3" s="147"/>
      <c r="GZ3" s="147"/>
      <c r="HA3" s="147"/>
      <c r="HB3" s="147"/>
      <c r="HC3" s="147"/>
      <c r="HD3" s="147"/>
      <c r="HE3" s="147"/>
      <c r="HF3" s="147"/>
      <c r="HG3" s="147"/>
      <c r="HH3" s="147"/>
      <c r="HI3" s="147"/>
      <c r="HJ3" s="147"/>
      <c r="HK3" s="147"/>
      <c r="HL3" s="147"/>
      <c r="HM3" s="147"/>
      <c r="HN3" s="147"/>
      <c r="HO3" s="147"/>
      <c r="HP3" s="147"/>
      <c r="HQ3" s="147"/>
      <c r="HR3" s="147"/>
      <c r="HS3" s="147"/>
      <c r="HT3" s="147"/>
      <c r="HU3" s="147"/>
      <c r="HV3" s="147"/>
      <c r="HW3" s="147"/>
      <c r="HX3" s="147"/>
      <c r="HY3" s="147"/>
      <c r="HZ3" s="147"/>
      <c r="IA3" s="147"/>
      <c r="IB3" s="147"/>
      <c r="IC3" s="147"/>
      <c r="ID3" s="147"/>
      <c r="IE3" s="147"/>
      <c r="IF3" s="147"/>
      <c r="IG3" s="147"/>
      <c r="IH3" s="147"/>
      <c r="II3" s="147"/>
      <c r="IJ3" s="147"/>
      <c r="IK3" s="147"/>
      <c r="IL3" s="147"/>
      <c r="IM3" s="147"/>
      <c r="IN3" s="147"/>
      <c r="IO3" s="147"/>
      <c r="IP3" s="147"/>
      <c r="IQ3" s="147"/>
      <c r="IR3" s="147"/>
      <c r="IS3" s="147"/>
      <c r="IT3" s="147"/>
    </row>
    <row r="4" spans="1:254" s="1829" customFormat="1" ht="14.25" customHeight="1">
      <c r="A4" s="1055"/>
      <c r="B4" s="1060"/>
      <c r="C4" s="1055"/>
      <c r="D4" s="1405"/>
      <c r="E4" s="435"/>
      <c r="F4" s="435"/>
      <c r="G4" s="435"/>
      <c r="H4" s="435"/>
      <c r="I4" s="435"/>
      <c r="J4" s="87"/>
      <c r="K4" s="165"/>
      <c r="L4" s="426"/>
      <c r="M4" s="426"/>
      <c r="N4" s="426"/>
      <c r="O4" s="146"/>
      <c r="P4" s="426"/>
      <c r="Q4" s="145"/>
      <c r="R4" s="145"/>
      <c r="S4" s="145"/>
      <c r="T4" s="145"/>
    </row>
    <row r="5" spans="1:254" s="1829" customFormat="1" ht="25.5" customHeight="1">
      <c r="A5" s="1055"/>
      <c r="B5" s="1060"/>
      <c r="C5" s="1055"/>
      <c r="D5" s="1405"/>
      <c r="E5" s="2119"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организаций, в отношении которых орган регулирования тарифов осуществляет регулирование тарифов в сфере холодного водоснабжения</v>
      </c>
      <c r="F5" s="2119"/>
      <c r="G5" s="2119"/>
      <c r="H5" s="2119"/>
      <c r="I5" s="2119"/>
      <c r="J5" s="2119"/>
      <c r="K5" s="165"/>
      <c r="L5" s="426"/>
      <c r="M5" s="426"/>
      <c r="N5" s="426"/>
      <c r="O5" s="146"/>
      <c r="P5" s="426"/>
      <c r="Q5" s="145"/>
      <c r="R5" s="145"/>
      <c r="S5" s="145"/>
      <c r="T5" s="145"/>
    </row>
    <row r="6" spans="1:254" s="1829" customFormat="1" ht="14.25" customHeight="1">
      <c r="A6" s="1055"/>
      <c r="B6" s="1060"/>
      <c r="C6" s="1055"/>
      <c r="D6" s="1405"/>
      <c r="E6" s="435"/>
      <c r="F6" s="88"/>
      <c r="G6" s="88"/>
      <c r="H6" s="88"/>
      <c r="I6" s="88"/>
      <c r="J6" s="89"/>
      <c r="K6" s="426"/>
      <c r="L6" s="426"/>
      <c r="M6" s="426"/>
      <c r="N6" s="426"/>
      <c r="O6" s="146"/>
      <c r="P6" s="426"/>
      <c r="Q6" s="145"/>
      <c r="R6" s="145"/>
      <c r="S6" s="145"/>
      <c r="T6" s="145"/>
    </row>
    <row r="7" spans="1:254" s="1829" customFormat="1" ht="14.25" customHeight="1">
      <c r="A7" s="1055"/>
      <c r="B7" s="1060"/>
      <c r="C7" s="1055"/>
      <c r="D7" s="1405"/>
      <c r="E7" s="2115" t="s">
        <v>289</v>
      </c>
      <c r="F7" s="2120"/>
      <c r="G7" s="2120"/>
      <c r="H7" s="2120"/>
      <c r="I7" s="2120"/>
      <c r="J7" s="2429" t="s">
        <v>290</v>
      </c>
      <c r="K7" s="426"/>
      <c r="L7" s="426"/>
      <c r="M7" s="426"/>
      <c r="N7" s="426"/>
      <c r="O7" s="146"/>
      <c r="P7" s="426"/>
      <c r="Q7" s="145"/>
      <c r="R7" s="145"/>
      <c r="S7" s="145"/>
      <c r="T7" s="145"/>
    </row>
    <row r="8" spans="1:254" s="1829" customFormat="1" ht="20.25" customHeight="1">
      <c r="A8" s="1055"/>
      <c r="B8" s="1060"/>
      <c r="C8" s="1055"/>
      <c r="D8" s="1405"/>
      <c r="E8" s="1463" t="s">
        <v>87</v>
      </c>
      <c r="F8" s="1449" t="s">
        <v>1106</v>
      </c>
      <c r="G8" s="1449" t="s">
        <v>48</v>
      </c>
      <c r="H8" s="1449" t="s">
        <v>50</v>
      </c>
      <c r="I8" s="1449" t="s">
        <v>1107</v>
      </c>
      <c r="J8" s="2430"/>
      <c r="K8" s="426"/>
      <c r="L8" s="426"/>
      <c r="M8" s="426"/>
      <c r="N8" s="426"/>
      <c r="O8" s="146"/>
      <c r="P8" s="426"/>
      <c r="Q8" s="145"/>
      <c r="R8" s="145"/>
      <c r="S8" s="145"/>
      <c r="T8" s="145"/>
    </row>
    <row r="9" spans="1:254" s="1831" customFormat="1" ht="22.5" customHeight="1">
      <c r="A9" s="2118"/>
      <c r="B9" s="1060">
        <v>1</v>
      </c>
      <c r="C9" s="1060"/>
      <c r="D9" s="718"/>
      <c r="E9" s="1394">
        <v>1</v>
      </c>
      <c r="F9" s="1462"/>
      <c r="G9" s="1401"/>
      <c r="H9" s="1401"/>
      <c r="I9" s="1447"/>
      <c r="J9" s="2431" t="s">
        <v>1108</v>
      </c>
      <c r="K9" s="1444" t="e">
        <f ca="1">MERGEVALUE(F9)</f>
        <v>#NAME?</v>
      </c>
      <c r="L9" s="437"/>
      <c r="M9" s="437"/>
      <c r="N9" s="426" t="str">
        <f t="array" ref="N9">IF(ISERROR(MATCH(MID(O9,1,250),MID(note_ter,1,250),0)),"n","y")</f>
        <v>n</v>
      </c>
      <c r="O9" s="437"/>
      <c r="P9" s="426"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60"/>
      <c r="R9" s="1060"/>
      <c r="S9" s="353"/>
      <c r="T9" s="1060"/>
      <c r="U9" s="1060"/>
      <c r="V9" s="1060"/>
      <c r="W9" s="355"/>
      <c r="X9" s="355"/>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5"/>
      <c r="BU9" s="355"/>
      <c r="BV9" s="355"/>
      <c r="BW9" s="355"/>
      <c r="BX9" s="355"/>
      <c r="BY9" s="355"/>
      <c r="BZ9" s="355"/>
      <c r="CA9" s="355"/>
      <c r="CB9" s="355"/>
      <c r="CC9" s="355"/>
    </row>
    <row r="10" spans="1:254" s="1831" customFormat="1" ht="15" customHeight="1">
      <c r="A10" s="2118"/>
      <c r="B10" s="1060"/>
      <c r="C10" s="346"/>
      <c r="D10" s="718"/>
      <c r="E10" s="1450"/>
      <c r="F10" s="1410" t="s">
        <v>1109</v>
      </c>
      <c r="G10" s="1451"/>
      <c r="H10" s="1451"/>
      <c r="I10" s="1451"/>
      <c r="J10" s="2432"/>
      <c r="K10" s="1445"/>
      <c r="L10" s="437"/>
      <c r="M10" s="437"/>
      <c r="N10" s="437"/>
      <c r="O10" s="426"/>
      <c r="P10" s="437"/>
      <c r="Q10" s="1060"/>
      <c r="R10" s="1060"/>
      <c r="S10" s="353"/>
      <c r="T10" s="1060"/>
      <c r="U10" s="1060"/>
      <c r="V10" s="1060"/>
      <c r="W10" s="355"/>
      <c r="X10" s="355"/>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5"/>
      <c r="BU10" s="355"/>
      <c r="BV10" s="355"/>
      <c r="BW10" s="355"/>
      <c r="BX10" s="355"/>
      <c r="BY10" s="355"/>
      <c r="BZ10" s="355"/>
      <c r="CA10" s="355"/>
      <c r="CB10" s="355"/>
      <c r="CC10" s="355"/>
    </row>
    <row r="11" spans="1:254" s="1829" customFormat="1" ht="21" customHeight="1">
      <c r="A11" s="1055"/>
      <c r="B11" s="1060"/>
      <c r="C11" s="1055"/>
      <c r="D11" s="382"/>
      <c r="E11" s="101"/>
      <c r="F11" s="101"/>
      <c r="G11" s="101"/>
      <c r="H11" s="101"/>
      <c r="I11" s="101"/>
      <c r="J11" s="101"/>
      <c r="K11" s="426"/>
      <c r="L11" s="426"/>
      <c r="M11" s="426"/>
      <c r="N11" s="426"/>
      <c r="O11" s="146"/>
      <c r="P11" s="426"/>
      <c r="Q11" s="145"/>
      <c r="R11" s="145"/>
      <c r="S11" s="145"/>
      <c r="T11" s="145"/>
    </row>
    <row r="12" spans="1:254" s="1829" customFormat="1" ht="14.25" customHeight="1">
      <c r="A12" s="1055"/>
      <c r="B12" s="1060"/>
      <c r="C12" s="1055"/>
      <c r="D12" s="382"/>
      <c r="E12" s="1055"/>
      <c r="F12" s="1055"/>
      <c r="G12" s="1055"/>
      <c r="H12" s="1055"/>
      <c r="I12" s="1055"/>
      <c r="J12" s="1055"/>
      <c r="K12" s="426"/>
      <c r="L12" s="426"/>
      <c r="M12" s="426"/>
      <c r="N12" s="426"/>
      <c r="O12" s="146"/>
      <c r="P12" s="426"/>
      <c r="Q12" s="145"/>
      <c r="R12" s="145"/>
      <c r="S12" s="145"/>
      <c r="T12" s="145"/>
    </row>
    <row r="13" spans="1:254" s="1829" customFormat="1" ht="0.75" customHeight="1">
      <c r="A13" s="1055"/>
      <c r="B13" s="1060"/>
      <c r="C13" s="1055"/>
      <c r="D13" s="382"/>
      <c r="E13" s="1055"/>
      <c r="F13" s="1055"/>
      <c r="G13" s="1055"/>
      <c r="H13" s="1055"/>
      <c r="I13" s="1055"/>
      <c r="J13" s="1055"/>
      <c r="K13" s="426"/>
      <c r="L13" s="426"/>
      <c r="M13" s="426"/>
      <c r="N13" s="426"/>
      <c r="O13" s="146"/>
      <c r="P13" s="426"/>
      <c r="Q13" s="145"/>
      <c r="R13" s="145"/>
      <c r="S13" s="145"/>
      <c r="T13" s="145"/>
    </row>
    <row r="14" spans="1:254" s="1835" customFormat="1" ht="10.5" customHeight="1">
      <c r="B14" s="751"/>
      <c r="D14" s="103"/>
      <c r="K14" s="426"/>
      <c r="L14" s="426"/>
      <c r="M14" s="426"/>
      <c r="N14" s="426"/>
      <c r="O14" s="146"/>
      <c r="P14" s="426"/>
      <c r="Q14" s="145"/>
      <c r="R14" s="145"/>
      <c r="S14" s="145"/>
      <c r="T14" s="145"/>
    </row>
    <row r="15" spans="1:254" s="1835" customFormat="1" ht="10.5" customHeight="1">
      <c r="B15" s="751"/>
      <c r="D15" s="103"/>
      <c r="K15" s="426"/>
      <c r="L15" s="426"/>
      <c r="M15" s="426"/>
      <c r="N15" s="426"/>
      <c r="O15" s="146"/>
      <c r="P15" s="426"/>
      <c r="Q15" s="145"/>
      <c r="R15" s="145"/>
      <c r="S15" s="145"/>
      <c r="T15" s="145"/>
    </row>
    <row r="19" spans="7:13" ht="14.25" customHeight="1">
      <c r="G19" s="301"/>
      <c r="H19" s="301"/>
      <c r="I19" s="301"/>
    </row>
    <row r="23" spans="7:13" ht="14.25" customHeight="1">
      <c r="K23" s="1055"/>
      <c r="L23" s="1055"/>
      <c r="M23" s="1055"/>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xr:uid="{00000000-0002-0000-3000-000000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11BF7-22A4-EDF4-E4FA-E9BE6AC097FA}">
  <sheetPr>
    <tabColor rgb="FFCCCCFF"/>
  </sheetPr>
  <dimension ref="A1:AR130"/>
  <sheetViews>
    <sheetView showGridLines="0" topLeftCell="C4" zoomScale="90" workbookViewId="0">
      <selection activeCell="P82" sqref="P82"/>
    </sheetView>
  </sheetViews>
  <sheetFormatPr defaultColWidth="9.140625" defaultRowHeight="11.25" customHeight="1"/>
  <cols>
    <col min="1" max="2" width="3.7109375" style="1898" hidden="1" customWidth="1"/>
    <col min="3" max="3" width="3.7109375" style="1899" customWidth="1"/>
    <col min="4" max="4" width="6.140625" style="1899" customWidth="1"/>
    <col min="5" max="5" width="43.140625" style="1899" customWidth="1"/>
    <col min="6" max="6" width="15" style="1852" customWidth="1"/>
    <col min="7" max="7" width="43.140625" style="1899" customWidth="1"/>
    <col min="8" max="8" width="3.7109375" style="1899" customWidth="1"/>
    <col min="9" max="9" width="5.42578125" style="1899" customWidth="1"/>
    <col min="10" max="10" width="47.85546875" style="1899" customWidth="1"/>
    <col min="11" max="12" width="3.7109375" style="1899" customWidth="1"/>
    <col min="13" max="13" width="5.7109375" style="1899" customWidth="1"/>
    <col min="14" max="14" width="28.140625" style="1899" customWidth="1"/>
    <col min="15" max="16" width="3.7109375" style="1899" customWidth="1"/>
    <col min="17" max="17" width="5.7109375" style="1899" customWidth="1"/>
    <col min="18" max="18" width="34.42578125" style="1899" customWidth="1"/>
    <col min="19" max="20" width="3.7109375" style="1900" hidden="1" customWidth="1"/>
    <col min="21" max="21" width="5.7109375" style="1900" hidden="1" customWidth="1"/>
    <col min="22" max="22" width="34.42578125" style="1900" hidden="1" customWidth="1"/>
    <col min="23" max="23" width="30.7109375" style="1899" customWidth="1"/>
    <col min="24" max="24" width="3.7109375" style="1899" customWidth="1"/>
    <col min="25" max="28" width="9.85546875" style="1847" hidden="1" customWidth="1"/>
    <col min="29" max="29" width="27" style="1847" hidden="1" customWidth="1"/>
    <col min="30" max="30" width="10.5703125" style="1847" hidden="1" customWidth="1"/>
    <col min="31" max="31" width="10.7109375" style="1847" hidden="1" customWidth="1"/>
    <col min="32" max="32" width="10" style="1847" hidden="1" customWidth="1"/>
    <col min="33" max="33" width="12.85546875" style="1847" hidden="1" customWidth="1"/>
    <col min="34" max="34" width="10.28515625" style="1847" hidden="1" customWidth="1"/>
    <col min="35" max="35" width="15.85546875" style="1847" hidden="1" customWidth="1"/>
    <col min="36" max="36" width="19.42578125" style="1847" hidden="1" customWidth="1"/>
    <col min="37" max="37" width="11" style="1847" hidden="1" customWidth="1"/>
    <col min="38" max="38" width="23.5703125" style="1847" hidden="1" customWidth="1"/>
    <col min="39" max="39" width="23.85546875" style="1847" hidden="1" customWidth="1"/>
    <col min="40" max="40" width="25.28515625" style="1847" hidden="1" customWidth="1"/>
    <col min="41" max="41" width="16.85546875" style="1847" hidden="1" customWidth="1"/>
    <col min="42" max="42" width="29.5703125" style="1847" hidden="1" customWidth="1"/>
    <col min="43" max="43" width="29.85546875" style="1847" hidden="1" customWidth="1"/>
    <col min="44" max="44" width="9.140625" style="1899" hidden="1"/>
  </cols>
  <sheetData>
    <row r="1" spans="1:43" ht="11.25" hidden="1" customHeight="1">
      <c r="A1" s="78"/>
    </row>
    <row r="2" spans="1:43" ht="11.25" hidden="1" customHeight="1"/>
    <row r="3" spans="1:43" ht="11.25" hidden="1" customHeight="1"/>
    <row r="4" spans="1:43" ht="3" customHeight="1"/>
    <row r="5" spans="1:43" s="1845" customFormat="1" ht="29.25" customHeight="1">
      <c r="A5" s="76"/>
      <c r="B5" s="76"/>
      <c r="D5" s="217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76"/>
      <c r="F5" s="2176"/>
      <c r="G5" s="2176"/>
      <c r="H5" s="2176"/>
      <c r="I5" s="2176"/>
      <c r="J5" s="2177"/>
      <c r="K5" s="183"/>
      <c r="L5" s="67"/>
      <c r="M5" s="67"/>
      <c r="N5" s="67"/>
      <c r="O5" s="67"/>
      <c r="P5" s="67"/>
      <c r="Q5" s="67"/>
      <c r="R5" s="67"/>
      <c r="S5" s="208"/>
      <c r="T5" s="208"/>
      <c r="U5" s="208"/>
      <c r="V5" s="208"/>
      <c r="W5" s="67"/>
      <c r="Y5" s="1180"/>
      <c r="Z5" s="1180"/>
      <c r="AA5" s="1180"/>
      <c r="AB5" s="1180"/>
      <c r="AC5" s="1180"/>
      <c r="AD5" s="1180"/>
      <c r="AE5" s="1180"/>
      <c r="AF5" s="1180"/>
      <c r="AG5" s="1180"/>
      <c r="AH5" s="1180"/>
      <c r="AI5" s="1180"/>
      <c r="AJ5" s="1180"/>
      <c r="AK5" s="1180"/>
      <c r="AL5" s="1180"/>
      <c r="AM5" s="1180"/>
      <c r="AN5" s="1180"/>
      <c r="AO5" s="1180"/>
      <c r="AP5" s="1180"/>
      <c r="AQ5" s="1180"/>
    </row>
    <row r="6" spans="1:43" s="1837" customFormat="1" ht="15" customHeight="1">
      <c r="A6" s="509"/>
      <c r="B6" s="509"/>
      <c r="C6" s="509"/>
      <c r="D6" s="2181" t="str">
        <f>IF(org=0,"Не определено",org)</f>
        <v>ПАО "Юнипро"</v>
      </c>
      <c r="E6" s="2181"/>
      <c r="F6" s="2181"/>
      <c r="G6" s="2181"/>
      <c r="H6" s="2181"/>
      <c r="I6" s="2181"/>
      <c r="J6" s="2181"/>
      <c r="K6" s="510"/>
      <c r="L6" s="510"/>
      <c r="M6" s="510"/>
      <c r="N6" s="510"/>
      <c r="O6" s="783"/>
      <c r="P6" s="783"/>
      <c r="Q6" s="783"/>
      <c r="R6" s="783"/>
      <c r="S6" s="783"/>
      <c r="T6" s="783"/>
      <c r="U6" s="783"/>
      <c r="V6" s="783"/>
      <c r="W6" s="783"/>
      <c r="X6" s="510"/>
      <c r="Y6" s="1181"/>
      <c r="Z6" s="1181"/>
      <c r="AA6" s="1181"/>
      <c r="AB6" s="1181"/>
      <c r="AC6" s="1181"/>
      <c r="AD6" s="1181"/>
      <c r="AE6" s="1181"/>
      <c r="AF6" s="1181"/>
      <c r="AG6" s="1181"/>
      <c r="AH6" s="1181"/>
      <c r="AI6" s="1181"/>
      <c r="AJ6" s="1181"/>
      <c r="AK6" s="1181"/>
      <c r="AL6" s="1181"/>
      <c r="AM6" s="1181"/>
      <c r="AN6" s="1181"/>
      <c r="AO6" s="1181"/>
      <c r="AP6" s="1181"/>
      <c r="AQ6" s="1181"/>
    </row>
    <row r="7" spans="1:43" s="1846" customFormat="1" ht="11.25" customHeight="1">
      <c r="A7" s="132"/>
      <c r="B7" s="132"/>
      <c r="D7" s="2178"/>
      <c r="E7" s="2179"/>
      <c r="F7" s="2179"/>
      <c r="G7" s="2179"/>
      <c r="H7" s="2179"/>
      <c r="I7" s="2179"/>
      <c r="J7" s="2180"/>
      <c r="S7" s="217"/>
      <c r="T7" s="217"/>
      <c r="U7" s="217"/>
      <c r="V7" s="217"/>
      <c r="Y7" s="1182"/>
      <c r="Z7" s="1182"/>
      <c r="AA7" s="1182"/>
      <c r="AB7" s="1182"/>
      <c r="AC7" s="1182"/>
      <c r="AD7" s="1182"/>
      <c r="AE7" s="1182"/>
      <c r="AF7" s="1182"/>
      <c r="AG7" s="1182"/>
      <c r="AH7" s="1182"/>
      <c r="AI7" s="1182"/>
      <c r="AJ7" s="1182"/>
      <c r="AK7" s="1182"/>
      <c r="AL7" s="1182"/>
      <c r="AM7" s="1182"/>
      <c r="AN7" s="1182"/>
      <c r="AO7" s="1182"/>
      <c r="AP7" s="1182"/>
      <c r="AQ7" s="1182"/>
    </row>
    <row r="8" spans="1:43" s="1845" customFormat="1" ht="0.75" customHeight="1">
      <c r="A8" s="76"/>
      <c r="B8" s="76"/>
      <c r="D8" s="133"/>
      <c r="E8" s="133"/>
      <c r="F8" s="133"/>
      <c r="G8" s="133"/>
      <c r="H8" s="133"/>
      <c r="I8" s="133"/>
      <c r="J8" s="133"/>
      <c r="K8" s="133"/>
      <c r="L8" s="133"/>
      <c r="M8" s="133"/>
      <c r="N8" s="133"/>
      <c r="O8" s="133"/>
      <c r="P8" s="133"/>
      <c r="Q8" s="133"/>
      <c r="R8" s="133"/>
      <c r="S8" s="133"/>
      <c r="T8" s="133"/>
      <c r="U8" s="133"/>
      <c r="V8" s="133"/>
      <c r="W8" s="133"/>
      <c r="X8" s="58"/>
      <c r="Y8" s="1180"/>
      <c r="Z8" s="1180"/>
      <c r="AA8" s="1180"/>
      <c r="AB8" s="1180"/>
      <c r="AC8" s="1180"/>
      <c r="AD8" s="1180"/>
      <c r="AE8" s="1180"/>
      <c r="AF8" s="1180"/>
      <c r="AG8" s="1180"/>
      <c r="AH8" s="1180"/>
      <c r="AI8" s="1180"/>
      <c r="AJ8" s="1180"/>
      <c r="AK8" s="1180"/>
      <c r="AL8" s="1180"/>
      <c r="AM8" s="1180"/>
      <c r="AN8" s="1180"/>
      <c r="AO8" s="1180"/>
      <c r="AP8" s="1180"/>
      <c r="AQ8" s="1180"/>
    </row>
    <row r="9" spans="1:43" ht="27" customHeight="1">
      <c r="D9" s="2143" t="s">
        <v>87</v>
      </c>
      <c r="E9" s="2115" t="s">
        <v>121</v>
      </c>
      <c r="F9" s="2114"/>
      <c r="G9" s="2143" t="s">
        <v>104</v>
      </c>
      <c r="H9" s="2143" t="s">
        <v>87</v>
      </c>
      <c r="I9" s="2143"/>
      <c r="J9" s="2143" t="s">
        <v>122</v>
      </c>
      <c r="K9" s="2171" t="s">
        <v>123</v>
      </c>
      <c r="L9" s="2171"/>
      <c r="M9" s="2171"/>
      <c r="N9" s="2171"/>
      <c r="O9" s="2171" t="s">
        <v>124</v>
      </c>
      <c r="P9" s="2171"/>
      <c r="Q9" s="2171"/>
      <c r="R9" s="2171"/>
      <c r="S9" s="2171" t="s">
        <v>125</v>
      </c>
      <c r="T9" s="2171"/>
      <c r="U9" s="2171"/>
      <c r="V9" s="2171"/>
      <c r="W9" s="2143" t="s">
        <v>126</v>
      </c>
    </row>
    <row r="10" spans="1:43" ht="30" customHeight="1">
      <c r="D10" s="2143"/>
      <c r="E10" s="1203" t="s">
        <v>88</v>
      </c>
      <c r="F10" s="1203" t="s">
        <v>127</v>
      </c>
      <c r="G10" s="2143"/>
      <c r="H10" s="2143"/>
      <c r="I10" s="2143"/>
      <c r="J10" s="2143"/>
      <c r="K10" s="41" t="s">
        <v>107</v>
      </c>
      <c r="L10" s="2143" t="s">
        <v>87</v>
      </c>
      <c r="M10" s="2143"/>
      <c r="N10" s="41" t="s">
        <v>128</v>
      </c>
      <c r="O10" s="41" t="s">
        <v>107</v>
      </c>
      <c r="P10" s="2143" t="s">
        <v>87</v>
      </c>
      <c r="Q10" s="2143"/>
      <c r="R10" s="41" t="s">
        <v>128</v>
      </c>
      <c r="S10" s="201" t="s">
        <v>107</v>
      </c>
      <c r="T10" s="2143" t="s">
        <v>87</v>
      </c>
      <c r="U10" s="2143"/>
      <c r="V10" s="201" t="s">
        <v>88</v>
      </c>
      <c r="W10" s="2143"/>
      <c r="Z10" s="1179" t="s">
        <v>129</v>
      </c>
      <c r="AA10" s="1179" t="s">
        <v>130</v>
      </c>
      <c r="AB10" s="1179" t="s">
        <v>131</v>
      </c>
      <c r="AC10" s="1179" t="s">
        <v>132</v>
      </c>
      <c r="AD10" s="1179" t="s">
        <v>133</v>
      </c>
      <c r="AE10" s="1179" t="s">
        <v>134</v>
      </c>
      <c r="AF10" s="1179" t="s">
        <v>135</v>
      </c>
      <c r="AG10" s="1179" t="s">
        <v>136</v>
      </c>
      <c r="AH10" s="1179" t="s">
        <v>137</v>
      </c>
      <c r="AI10" s="1179" t="s">
        <v>138</v>
      </c>
      <c r="AJ10" s="1179" t="s">
        <v>139</v>
      </c>
      <c r="AK10" s="1179" t="s">
        <v>140</v>
      </c>
      <c r="AL10" s="1179" t="s">
        <v>141</v>
      </c>
      <c r="AM10" s="1179" t="s">
        <v>142</v>
      </c>
      <c r="AN10" s="1179" t="s">
        <v>143</v>
      </c>
      <c r="AO10" s="1179" t="s">
        <v>144</v>
      </c>
      <c r="AP10" s="1179" t="s">
        <v>145</v>
      </c>
      <c r="AQ10" s="1179" t="s">
        <v>146</v>
      </c>
    </row>
    <row r="11" spans="1:43" s="1848" customFormat="1" ht="12" hidden="1" customHeight="1">
      <c r="D11" s="1159" t="s">
        <v>108</v>
      </c>
      <c r="E11" s="1159" t="s">
        <v>109</v>
      </c>
      <c r="F11" s="1159"/>
      <c r="G11" s="1159" t="s">
        <v>89</v>
      </c>
      <c r="H11" s="2172" t="s">
        <v>110</v>
      </c>
      <c r="I11" s="2172"/>
      <c r="J11" s="1159" t="s">
        <v>91</v>
      </c>
      <c r="K11" s="1159" t="s">
        <v>92</v>
      </c>
      <c r="L11" s="2172" t="s">
        <v>111</v>
      </c>
      <c r="M11" s="2172"/>
      <c r="N11" s="1159" t="s">
        <v>147</v>
      </c>
      <c r="O11" s="1159" t="s">
        <v>148</v>
      </c>
      <c r="P11" s="2172" t="s">
        <v>149</v>
      </c>
      <c r="Q11" s="2172"/>
      <c r="R11" s="1159" t="s">
        <v>150</v>
      </c>
      <c r="S11" s="1159" t="s">
        <v>149</v>
      </c>
      <c r="T11" s="2172" t="s">
        <v>150</v>
      </c>
      <c r="U11" s="2172"/>
      <c r="V11" s="1159" t="s">
        <v>151</v>
      </c>
      <c r="W11" s="1159" t="s">
        <v>152</v>
      </c>
      <c r="Y11" s="1179"/>
      <c r="Z11" s="1179"/>
      <c r="AA11" s="1179"/>
      <c r="AB11" s="1179"/>
      <c r="AC11" s="1179"/>
      <c r="AD11" s="1179"/>
      <c r="AE11" s="1179"/>
      <c r="AF11" s="1179"/>
      <c r="AG11" s="1179"/>
      <c r="AH11" s="1179"/>
      <c r="AI11" s="1179"/>
      <c r="AJ11" s="1179"/>
      <c r="AK11" s="1179"/>
      <c r="AL11" s="1179"/>
      <c r="AM11" s="1179"/>
      <c r="AN11" s="1179"/>
      <c r="AO11" s="1179"/>
      <c r="AP11" s="1179"/>
      <c r="AQ11" s="1179"/>
    </row>
    <row r="12" spans="1:43" ht="14.25" hidden="1" customHeight="1">
      <c r="C12" s="130"/>
      <c r="D12" s="1202">
        <v>0</v>
      </c>
      <c r="E12" s="168"/>
      <c r="F12" s="168"/>
      <c r="G12" s="168"/>
      <c r="H12" s="169"/>
      <c r="I12" s="169"/>
      <c r="J12" s="80"/>
      <c r="K12" s="42"/>
      <c r="L12" s="80"/>
      <c r="M12" s="80"/>
      <c r="N12" s="170"/>
      <c r="O12" s="42"/>
      <c r="P12" s="80"/>
      <c r="Q12" s="80"/>
      <c r="R12" s="171"/>
      <c r="S12" s="202"/>
      <c r="T12" s="210"/>
      <c r="U12" s="210"/>
      <c r="V12" s="214"/>
      <c r="W12" s="42"/>
      <c r="X12" s="66"/>
    </row>
    <row r="13" spans="1:43" s="1849" customFormat="1" ht="17.25" hidden="1" customHeight="1">
      <c r="A13" s="244"/>
      <c r="C13" s="130"/>
      <c r="D13" s="2157">
        <v>1</v>
      </c>
      <c r="E13" s="2159" t="s">
        <v>153</v>
      </c>
      <c r="F13" s="2161" t="s">
        <v>56</v>
      </c>
      <c r="G13" s="2159"/>
      <c r="H13" s="2164"/>
      <c r="I13" s="2166"/>
      <c r="J13" s="2168"/>
      <c r="K13" s="2151"/>
      <c r="L13" s="2151"/>
      <c r="M13" s="2151"/>
      <c r="N13" s="2153"/>
      <c r="O13" s="2151"/>
      <c r="P13" s="2151"/>
      <c r="Q13" s="2151"/>
      <c r="R13" s="2156"/>
      <c r="S13" s="2151"/>
      <c r="T13" s="1335"/>
      <c r="U13" s="1335"/>
      <c r="V13" s="1334"/>
      <c r="W13" s="1215"/>
      <c r="Y13" s="1186"/>
      <c r="Z13" s="1186"/>
      <c r="AA13" s="1186"/>
      <c r="AB13" s="1186"/>
      <c r="AC13" s="1186" t="s">
        <v>154</v>
      </c>
      <c r="AD13" s="1186" t="s">
        <v>155</v>
      </c>
      <c r="AE13" s="1186" t="s">
        <v>156</v>
      </c>
      <c r="AF13" s="1186" t="s">
        <v>157</v>
      </c>
      <c r="AG13" s="1186" t="s">
        <v>158</v>
      </c>
      <c r="AH13" s="118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6" t="str">
        <f>IF($G$13=0,"",$G$13)</f>
        <v/>
      </c>
      <c r="AJ13" s="1186" t="str">
        <f>IF($J$13=0,"",$J$13)</f>
        <v/>
      </c>
      <c r="AK13" s="1186" t="str">
        <f>IF($K$13="нет","без дифференциации",IF($N$13=0,"",$N$13))</f>
        <v/>
      </c>
      <c r="AL13" s="1186" t="str">
        <f>IF($O$13="нет","без дифференциации",IF($R$13=0,"",$R$13))</f>
        <v/>
      </c>
      <c r="AM13" s="1186" t="str">
        <f>IF($S$13="нет","без дифференциации",IF($V$13=0,"",$V$13))</f>
        <v/>
      </c>
      <c r="AN13" s="1186">
        <f>$I$13</f>
        <v>0</v>
      </c>
      <c r="AO13" s="1186" t="str">
        <f>$I$13&amp;"."&amp;$M$13</f>
        <v>.</v>
      </c>
      <c r="AP13" s="1186" t="str">
        <f>$I$13&amp;"."&amp;$M$13&amp;"."&amp;$Q$13</f>
        <v>..</v>
      </c>
      <c r="AQ13" s="1186" t="str">
        <f>$I$13&amp;"."&amp;$M$13&amp;"."&amp;$Q$13&amp;"."&amp;$U$13</f>
        <v>...</v>
      </c>
    </row>
    <row r="14" spans="1:43" s="1849" customFormat="1" ht="17.25" hidden="1" customHeight="1">
      <c r="A14" s="244"/>
      <c r="C14" s="243"/>
      <c r="D14" s="2157"/>
      <c r="E14" s="2159"/>
      <c r="F14" s="2162"/>
      <c r="G14" s="2159"/>
      <c r="H14" s="2165"/>
      <c r="I14" s="2167"/>
      <c r="J14" s="2169"/>
      <c r="K14" s="2152"/>
      <c r="L14" s="2152"/>
      <c r="M14" s="2152"/>
      <c r="N14" s="2154"/>
      <c r="O14" s="2152"/>
      <c r="P14" s="2152"/>
      <c r="Q14" s="2152"/>
      <c r="R14" s="2155"/>
      <c r="S14" s="2152"/>
      <c r="T14" s="1216"/>
      <c r="U14" s="1216"/>
      <c r="V14" s="1216"/>
      <c r="W14" s="1217"/>
      <c r="Y14" s="1179"/>
      <c r="Z14" s="1179"/>
      <c r="AA14" s="1179"/>
      <c r="AB14" s="1179"/>
      <c r="AC14" s="1179"/>
      <c r="AD14" s="1179"/>
      <c r="AE14" s="1179"/>
      <c r="AF14" s="1179"/>
      <c r="AG14" s="1179"/>
      <c r="AH14" s="1179"/>
      <c r="AI14" s="1179"/>
      <c r="AJ14" s="1179"/>
      <c r="AK14" s="1179"/>
      <c r="AL14" s="1179"/>
      <c r="AM14" s="1179"/>
      <c r="AN14" s="1179"/>
      <c r="AO14" s="1179"/>
      <c r="AP14" s="1179"/>
      <c r="AQ14" s="1179"/>
    </row>
    <row r="15" spans="1:43" s="1850" customFormat="1" ht="17.25" hidden="1" customHeight="1">
      <c r="A15" s="244"/>
      <c r="C15" s="130"/>
      <c r="D15" s="2157"/>
      <c r="E15" s="2159"/>
      <c r="F15" s="2162"/>
      <c r="G15" s="2159"/>
      <c r="H15" s="2165"/>
      <c r="I15" s="2167"/>
      <c r="J15" s="2170"/>
      <c r="K15" s="2152"/>
      <c r="L15" s="2152"/>
      <c r="M15" s="2152"/>
      <c r="N15" s="2155"/>
      <c r="O15" s="2152"/>
      <c r="P15" s="1333"/>
      <c r="Q15" s="1216"/>
      <c r="R15" s="1216"/>
      <c r="S15" s="255"/>
      <c r="T15" s="255"/>
      <c r="U15" s="255"/>
      <c r="V15" s="255"/>
      <c r="W15" s="1217"/>
      <c r="Y15" s="1186"/>
      <c r="Z15" s="1186"/>
      <c r="AA15" s="1186"/>
      <c r="AB15" s="1186"/>
      <c r="AC15" s="1186"/>
      <c r="AD15" s="1186"/>
      <c r="AE15" s="1186"/>
      <c r="AF15" s="1186"/>
      <c r="AG15" s="1186"/>
      <c r="AH15" s="1186"/>
      <c r="AI15" s="1186"/>
      <c r="AJ15" s="1186"/>
      <c r="AK15" s="1186"/>
      <c r="AL15" s="1186"/>
      <c r="AM15" s="1186"/>
      <c r="AN15" s="1186"/>
      <c r="AO15" s="1186"/>
      <c r="AP15" s="1186"/>
      <c r="AQ15" s="1186"/>
    </row>
    <row r="16" spans="1:43" s="1850" customFormat="1" ht="17.25" hidden="1" customHeight="1">
      <c r="A16" s="244"/>
      <c r="C16" s="243"/>
      <c r="D16" s="2157"/>
      <c r="E16" s="2159"/>
      <c r="F16" s="2162"/>
      <c r="G16" s="2159"/>
      <c r="H16" s="2165"/>
      <c r="I16" s="2167"/>
      <c r="J16" s="2170"/>
      <c r="K16" s="2152"/>
      <c r="L16" s="1216"/>
      <c r="M16" s="1216"/>
      <c r="N16" s="1216"/>
      <c r="O16" s="1216"/>
      <c r="P16" s="1216"/>
      <c r="Q16" s="1216"/>
      <c r="R16" s="1216"/>
      <c r="S16" s="255"/>
      <c r="T16" s="255"/>
      <c r="U16" s="255"/>
      <c r="V16" s="255"/>
      <c r="W16" s="1217"/>
      <c r="Y16" s="1179"/>
      <c r="Z16" s="1179"/>
      <c r="AA16" s="1179"/>
      <c r="AB16" s="1179"/>
      <c r="AC16" s="1179"/>
      <c r="AD16" s="1179"/>
      <c r="AE16" s="1179"/>
      <c r="AF16" s="1179"/>
      <c r="AG16" s="1179"/>
      <c r="AH16" s="1179"/>
      <c r="AI16" s="1179"/>
      <c r="AJ16" s="1179"/>
      <c r="AK16" s="1179"/>
      <c r="AL16" s="1179"/>
      <c r="AM16" s="1179"/>
      <c r="AN16" s="1179"/>
      <c r="AO16" s="1179"/>
      <c r="AP16" s="1179"/>
      <c r="AQ16" s="1179"/>
    </row>
    <row r="17" spans="1:43" s="1849" customFormat="1" ht="17.25" hidden="1" customHeight="1">
      <c r="A17" s="244"/>
      <c r="C17" s="243"/>
      <c r="D17" s="2158"/>
      <c r="E17" s="2160"/>
      <c r="F17" s="2163"/>
      <c r="G17" s="2160"/>
      <c r="H17" s="1218"/>
      <c r="I17" s="1219"/>
      <c r="J17" s="1219"/>
      <c r="K17" s="1219"/>
      <c r="L17" s="1219"/>
      <c r="M17" s="1219"/>
      <c r="N17" s="1219"/>
      <c r="O17" s="1219"/>
      <c r="P17" s="1219"/>
      <c r="Q17" s="1219"/>
      <c r="R17" s="1219"/>
      <c r="S17" s="1220"/>
      <c r="T17" s="1220"/>
      <c r="U17" s="1220"/>
      <c r="V17" s="1220"/>
      <c r="W17" s="1221"/>
      <c r="Y17" s="1179"/>
      <c r="Z17" s="1179"/>
      <c r="AA17" s="1179"/>
      <c r="AB17" s="1179"/>
      <c r="AC17" s="1179"/>
      <c r="AD17" s="1179"/>
      <c r="AE17" s="1179"/>
      <c r="AF17" s="1179"/>
      <c r="AG17" s="1179"/>
      <c r="AH17" s="1179"/>
      <c r="AI17" s="1179"/>
      <c r="AJ17" s="1179"/>
      <c r="AK17" s="1179"/>
      <c r="AL17" s="1179"/>
      <c r="AM17" s="1179"/>
      <c r="AN17" s="1179"/>
      <c r="AO17" s="1179"/>
      <c r="AP17" s="1179"/>
      <c r="AQ17" s="1179"/>
    </row>
    <row r="18" spans="1:43" s="1852" customFormat="1" ht="17.25" hidden="1" customHeight="1">
      <c r="A18" s="244"/>
      <c r="C18" s="130"/>
      <c r="D18" s="2157">
        <v>2</v>
      </c>
      <c r="E18" s="2159" t="s">
        <v>159</v>
      </c>
      <c r="F18" s="2161" t="s">
        <v>56</v>
      </c>
      <c r="G18" s="2159"/>
      <c r="H18" s="2164"/>
      <c r="I18" s="2166"/>
      <c r="J18" s="2168"/>
      <c r="K18" s="2151"/>
      <c r="L18" s="2151"/>
      <c r="M18" s="2151"/>
      <c r="N18" s="2153"/>
      <c r="O18" s="2151"/>
      <c r="P18" s="2151"/>
      <c r="Q18" s="2151"/>
      <c r="R18" s="2156"/>
      <c r="S18" s="2151"/>
      <c r="T18" s="1335"/>
      <c r="U18" s="1335"/>
      <c r="V18" s="1334"/>
      <c r="W18" s="1215"/>
      <c r="X18" s="1186"/>
      <c r="Y18" s="1186"/>
      <c r="Z18" s="1186"/>
      <c r="AA18" s="1186"/>
      <c r="AB18" s="1186"/>
      <c r="AC18" s="1186" t="s">
        <v>160</v>
      </c>
      <c r="AD18" s="1186" t="s">
        <v>161</v>
      </c>
      <c r="AE18" s="1186" t="s">
        <v>162</v>
      </c>
      <c r="AF18" s="1186" t="s">
        <v>163</v>
      </c>
      <c r="AG18" s="1186" t="s">
        <v>164</v>
      </c>
      <c r="AH18" s="1186" t="str">
        <f>IF($E$18=0,"",$E$18)</f>
        <v>Тарифы на тепловую энергию (мощность), поставляемую теплоснабжающими организациями потребителям, другим теплоснабжающим организациям</v>
      </c>
      <c r="AI18" s="1186" t="str">
        <f>IF($G$18=0,"",$G$18)</f>
        <v/>
      </c>
      <c r="AJ18" s="1186" t="str">
        <f>IF($J$18=0,"",$J$18)</f>
        <v/>
      </c>
      <c r="AK18" s="1186" t="str">
        <f>IF($K$18="нет","без дифференциации",IF($N$18=0,"",$N$18))</f>
        <v/>
      </c>
      <c r="AL18" s="1186" t="str">
        <f>IF($O$18="нет","без дифференциации",IF($R$18=0,"",$R$18))</f>
        <v/>
      </c>
      <c r="AM18" s="1186" t="str">
        <f>IF($S$18="нет","без дифференциации",IF($V$18=0,"",$V$18))</f>
        <v/>
      </c>
      <c r="AN18" s="1682">
        <f>$I$18</f>
        <v>0</v>
      </c>
      <c r="AO18" s="1186" t="str">
        <f>$I$18&amp;"."&amp;$M$18</f>
        <v>.</v>
      </c>
      <c r="AP18" s="1179" t="str">
        <f>$I$18&amp;"."&amp;$M$18&amp;"."&amp;$Q$18</f>
        <v>..</v>
      </c>
      <c r="AQ18" s="1179" t="str">
        <f>$I$18&amp;"."&amp;$M$18&amp;"."&amp;$Q$18&amp;"."&amp;$U$18</f>
        <v>...</v>
      </c>
    </row>
    <row r="19" spans="1:43" s="1852" customFormat="1" ht="17.25" hidden="1" customHeight="1">
      <c r="A19" s="244"/>
      <c r="C19" s="243"/>
      <c r="D19" s="2157"/>
      <c r="E19" s="2159"/>
      <c r="F19" s="2162"/>
      <c r="G19" s="2159"/>
      <c r="H19" s="2165"/>
      <c r="I19" s="2167"/>
      <c r="J19" s="2169"/>
      <c r="K19" s="2152"/>
      <c r="L19" s="2152"/>
      <c r="M19" s="2152"/>
      <c r="N19" s="2154"/>
      <c r="O19" s="2152"/>
      <c r="P19" s="2152"/>
      <c r="Q19" s="2152"/>
      <c r="R19" s="2155"/>
      <c r="S19" s="2152"/>
      <c r="T19" s="1216"/>
      <c r="U19" s="1216"/>
      <c r="V19" s="1216"/>
      <c r="W19" s="1217"/>
      <c r="X19" s="1179"/>
      <c r="Y19" s="1179"/>
      <c r="Z19" s="1179"/>
      <c r="AA19" s="1179"/>
      <c r="AB19" s="1179"/>
      <c r="AC19" s="1179"/>
      <c r="AD19" s="1179"/>
      <c r="AE19" s="1179"/>
      <c r="AF19" s="1179"/>
      <c r="AG19" s="1179"/>
      <c r="AH19" s="1179"/>
      <c r="AI19" s="1179"/>
      <c r="AJ19" s="1179"/>
      <c r="AK19" s="1179"/>
      <c r="AL19" s="1179"/>
      <c r="AM19" s="1179"/>
      <c r="AN19" s="1179"/>
      <c r="AO19" s="1179"/>
      <c r="AP19" s="1179"/>
      <c r="AQ19" s="1179"/>
    </row>
    <row r="20" spans="1:43" s="1852" customFormat="1" ht="17.25" hidden="1" customHeight="1">
      <c r="A20" s="244"/>
      <c r="C20" s="243"/>
      <c r="D20" s="2158"/>
      <c r="E20" s="2160"/>
      <c r="F20" s="2162"/>
      <c r="G20" s="2160"/>
      <c r="H20" s="2165"/>
      <c r="I20" s="2167"/>
      <c r="J20" s="2170"/>
      <c r="K20" s="2152"/>
      <c r="L20" s="2152"/>
      <c r="M20" s="2152"/>
      <c r="N20" s="2155"/>
      <c r="O20" s="2152"/>
      <c r="P20" s="1333"/>
      <c r="Q20" s="1216"/>
      <c r="R20" s="1216"/>
      <c r="S20" s="255"/>
      <c r="T20" s="255"/>
      <c r="U20" s="255"/>
      <c r="V20" s="255"/>
      <c r="W20" s="1217"/>
      <c r="X20" s="1179"/>
      <c r="Y20" s="1179"/>
      <c r="Z20" s="1179"/>
      <c r="AA20" s="1179"/>
      <c r="AB20" s="1179"/>
      <c r="AC20" s="1179"/>
      <c r="AD20" s="1179"/>
      <c r="AE20" s="1179"/>
      <c r="AF20" s="1179"/>
      <c r="AG20" s="1179"/>
      <c r="AH20" s="1179"/>
      <c r="AI20" s="1179"/>
      <c r="AJ20" s="1179"/>
      <c r="AK20" s="1179"/>
      <c r="AL20" s="1179"/>
      <c r="AM20" s="1179"/>
      <c r="AN20" s="1179"/>
      <c r="AO20" s="1179"/>
      <c r="AP20" s="1179"/>
      <c r="AQ20" s="1179"/>
    </row>
    <row r="21" spans="1:43" s="1852" customFormat="1" ht="17.25" hidden="1" customHeight="1">
      <c r="A21" s="244"/>
      <c r="C21" s="243"/>
      <c r="D21" s="2158"/>
      <c r="E21" s="2160"/>
      <c r="F21" s="2162"/>
      <c r="G21" s="2160"/>
      <c r="H21" s="2165"/>
      <c r="I21" s="2167"/>
      <c r="J21" s="2170"/>
      <c r="K21" s="2152"/>
      <c r="L21" s="1216"/>
      <c r="M21" s="1216"/>
      <c r="N21" s="1216"/>
      <c r="O21" s="1216"/>
      <c r="P21" s="1216"/>
      <c r="Q21" s="1216"/>
      <c r="R21" s="1216"/>
      <c r="S21" s="255"/>
      <c r="T21" s="255"/>
      <c r="U21" s="255"/>
      <c r="V21" s="255"/>
      <c r="W21" s="1217"/>
      <c r="X21" s="1179"/>
      <c r="Y21" s="1179"/>
      <c r="Z21" s="1179"/>
      <c r="AA21" s="1179"/>
      <c r="AB21" s="1179"/>
      <c r="AC21" s="1179"/>
      <c r="AD21" s="1179"/>
      <c r="AE21" s="1179"/>
      <c r="AF21" s="1179"/>
      <c r="AG21" s="1179"/>
      <c r="AH21" s="1179"/>
      <c r="AI21" s="1179"/>
      <c r="AJ21" s="1179"/>
      <c r="AK21" s="1179"/>
      <c r="AL21" s="1179"/>
      <c r="AM21" s="1179"/>
      <c r="AN21" s="1179"/>
      <c r="AO21" s="1179"/>
      <c r="AP21" s="1179"/>
      <c r="AQ21" s="1179"/>
    </row>
    <row r="22" spans="1:43" s="1852" customFormat="1" ht="17.25" hidden="1" customHeight="1">
      <c r="A22" s="244"/>
      <c r="C22" s="243"/>
      <c r="D22" s="2158"/>
      <c r="E22" s="2160"/>
      <c r="F22" s="2163"/>
      <c r="G22" s="2160"/>
      <c r="H22" s="1218"/>
      <c r="I22" s="1219"/>
      <c r="J22" s="1219"/>
      <c r="K22" s="1219"/>
      <c r="L22" s="1219"/>
      <c r="M22" s="1219"/>
      <c r="N22" s="1219"/>
      <c r="O22" s="1219"/>
      <c r="P22" s="1219"/>
      <c r="Q22" s="1219"/>
      <c r="R22" s="1219"/>
      <c r="S22" s="1220"/>
      <c r="T22" s="1220"/>
      <c r="U22" s="1220"/>
      <c r="V22" s="1220"/>
      <c r="W22" s="1221"/>
      <c r="X22" s="1179"/>
      <c r="Y22" s="1179"/>
      <c r="Z22" s="1179"/>
      <c r="AA22" s="1179"/>
      <c r="AB22" s="1179"/>
      <c r="AC22" s="1179"/>
      <c r="AD22" s="1179"/>
      <c r="AE22" s="1179"/>
      <c r="AF22" s="1179"/>
      <c r="AG22" s="1179"/>
      <c r="AH22" s="1179"/>
      <c r="AI22" s="1179"/>
      <c r="AJ22" s="1179"/>
      <c r="AK22" s="1179"/>
      <c r="AL22" s="1179"/>
      <c r="AM22" s="1179"/>
      <c r="AN22" s="1179"/>
      <c r="AO22" s="1179"/>
      <c r="AP22" s="1179"/>
      <c r="AQ22" s="1179"/>
    </row>
    <row r="23" spans="1:43" s="1852" customFormat="1" ht="17.25" hidden="1" customHeight="1">
      <c r="A23" s="244"/>
      <c r="C23" s="130"/>
      <c r="D23" s="2157">
        <v>3</v>
      </c>
      <c r="E23" s="2159" t="s">
        <v>165</v>
      </c>
      <c r="F23" s="2161" t="s">
        <v>56</v>
      </c>
      <c r="G23" s="2159"/>
      <c r="H23" s="2164"/>
      <c r="I23" s="2166"/>
      <c r="J23" s="2168"/>
      <c r="K23" s="2151"/>
      <c r="L23" s="2151"/>
      <c r="M23" s="2151"/>
      <c r="N23" s="2153"/>
      <c r="O23" s="2151"/>
      <c r="P23" s="2151"/>
      <c r="Q23" s="2151"/>
      <c r="R23" s="2156"/>
      <c r="S23" s="2151"/>
      <c r="T23" s="1335"/>
      <c r="U23" s="1335"/>
      <c r="V23" s="1334"/>
      <c r="W23" s="1215"/>
      <c r="X23" s="1186"/>
      <c r="Y23" s="1186"/>
      <c r="Z23" s="1186"/>
      <c r="AA23" s="1186"/>
      <c r="AB23" s="1186"/>
      <c r="AC23" s="1186" t="s">
        <v>166</v>
      </c>
      <c r="AD23" s="1186" t="s">
        <v>167</v>
      </c>
      <c r="AE23" s="1186" t="s">
        <v>168</v>
      </c>
      <c r="AF23" s="1186" t="s">
        <v>169</v>
      </c>
      <c r="AG23" s="1186" t="s">
        <v>170</v>
      </c>
      <c r="AH23" s="1186" t="str">
        <f>IF($E$23=0,"",$E$23)</f>
        <v>Тарифы на теплоноситель, поставляемый теплоснабжающими организациями потребителям, другим теплоснабжающим организациям</v>
      </c>
      <c r="AI23" s="1186" t="str">
        <f>IF($G$23=0,"",$G$23)</f>
        <v/>
      </c>
      <c r="AJ23" s="1186" t="str">
        <f>IF($J$23=0,"",$J$23)</f>
        <v/>
      </c>
      <c r="AK23" s="1186" t="str">
        <f>IF($K$23="нет","без дифференциации",IF($N$23=0,"",$N$23))</f>
        <v/>
      </c>
      <c r="AL23" s="1186" t="str">
        <f>IF($O$23="нет","без дифференциации",IF($R$23=0,"",$R$23))</f>
        <v/>
      </c>
      <c r="AM23" s="1186" t="str">
        <f>IF($S$23="нет","без дифференциации",IF($V$23=0,"",$V$23))</f>
        <v/>
      </c>
      <c r="AN23" s="1682">
        <f>$I$23</f>
        <v>0</v>
      </c>
      <c r="AO23" s="1186" t="str">
        <f>$I$23&amp;"."&amp;$M$23</f>
        <v>.</v>
      </c>
      <c r="AP23" s="1179" t="str">
        <f>$I$23&amp;"."&amp;$M$23&amp;"."&amp;$Q$23</f>
        <v>..</v>
      </c>
      <c r="AQ23" s="1179" t="str">
        <f>$I$23&amp;"."&amp;$M$23&amp;"."&amp;$Q$23&amp;"."&amp;$U$23</f>
        <v>...</v>
      </c>
    </row>
    <row r="24" spans="1:43" s="1852" customFormat="1" ht="17.25" hidden="1" customHeight="1">
      <c r="A24" s="244"/>
      <c r="C24" s="243"/>
      <c r="D24" s="2157"/>
      <c r="E24" s="2159"/>
      <c r="F24" s="2162"/>
      <c r="G24" s="2159"/>
      <c r="H24" s="2165"/>
      <c r="I24" s="2167"/>
      <c r="J24" s="2169"/>
      <c r="K24" s="2152"/>
      <c r="L24" s="2152"/>
      <c r="M24" s="2152"/>
      <c r="N24" s="2154"/>
      <c r="O24" s="2152"/>
      <c r="P24" s="2152"/>
      <c r="Q24" s="2152"/>
      <c r="R24" s="2155"/>
      <c r="S24" s="2152"/>
      <c r="T24" s="1216"/>
      <c r="U24" s="1216"/>
      <c r="V24" s="1216"/>
      <c r="W24" s="1217"/>
      <c r="X24" s="1179"/>
      <c r="Y24" s="1179"/>
      <c r="Z24" s="1179"/>
      <c r="AA24" s="1179"/>
      <c r="AB24" s="1179"/>
      <c r="AC24" s="1179"/>
      <c r="AD24" s="1179"/>
      <c r="AE24" s="1179"/>
      <c r="AF24" s="1179"/>
      <c r="AG24" s="1179"/>
      <c r="AH24" s="1179"/>
      <c r="AI24" s="1179"/>
      <c r="AJ24" s="1179"/>
      <c r="AK24" s="1179"/>
      <c r="AL24" s="1179"/>
      <c r="AM24" s="1179"/>
      <c r="AN24" s="1179"/>
      <c r="AO24" s="1179"/>
      <c r="AP24" s="1179"/>
      <c r="AQ24" s="1179"/>
    </row>
    <row r="25" spans="1:43" s="1852" customFormat="1" ht="17.25" hidden="1" customHeight="1">
      <c r="A25" s="244"/>
      <c r="C25" s="243"/>
      <c r="D25" s="2158"/>
      <c r="E25" s="2160"/>
      <c r="F25" s="2162"/>
      <c r="G25" s="2160"/>
      <c r="H25" s="2165"/>
      <c r="I25" s="2167"/>
      <c r="J25" s="2170"/>
      <c r="K25" s="2152"/>
      <c r="L25" s="2152"/>
      <c r="M25" s="2152"/>
      <c r="N25" s="2155"/>
      <c r="O25" s="2152"/>
      <c r="P25" s="1333"/>
      <c r="Q25" s="1216"/>
      <c r="R25" s="1216"/>
      <c r="S25" s="255"/>
      <c r="T25" s="255"/>
      <c r="U25" s="255"/>
      <c r="V25" s="255"/>
      <c r="W25" s="1217"/>
      <c r="X25" s="1179"/>
      <c r="Y25" s="1179"/>
      <c r="Z25" s="1179"/>
      <c r="AA25" s="1179"/>
      <c r="AB25" s="1179"/>
      <c r="AC25" s="1179"/>
      <c r="AD25" s="1179"/>
      <c r="AE25" s="1179"/>
      <c r="AF25" s="1179"/>
      <c r="AG25" s="1179"/>
      <c r="AH25" s="1179"/>
      <c r="AI25" s="1179"/>
      <c r="AJ25" s="1179"/>
      <c r="AK25" s="1179"/>
      <c r="AL25" s="1179"/>
      <c r="AM25" s="1179"/>
      <c r="AN25" s="1179"/>
      <c r="AO25" s="1179"/>
      <c r="AP25" s="1179"/>
      <c r="AQ25" s="1179"/>
    </row>
    <row r="26" spans="1:43" s="1852" customFormat="1" ht="17.25" hidden="1" customHeight="1">
      <c r="A26" s="244"/>
      <c r="C26" s="243"/>
      <c r="D26" s="2158"/>
      <c r="E26" s="2160"/>
      <c r="F26" s="2162"/>
      <c r="G26" s="2160"/>
      <c r="H26" s="2165"/>
      <c r="I26" s="2167"/>
      <c r="J26" s="2170"/>
      <c r="K26" s="2152"/>
      <c r="L26" s="1216"/>
      <c r="M26" s="1216"/>
      <c r="N26" s="1216"/>
      <c r="O26" s="1216"/>
      <c r="P26" s="1216"/>
      <c r="Q26" s="1216"/>
      <c r="R26" s="1216"/>
      <c r="S26" s="255"/>
      <c r="T26" s="255"/>
      <c r="U26" s="255"/>
      <c r="V26" s="255"/>
      <c r="W26" s="1217"/>
      <c r="X26" s="1179"/>
      <c r="Y26" s="1179"/>
      <c r="Z26" s="1179"/>
      <c r="AA26" s="1179"/>
      <c r="AB26" s="1179"/>
      <c r="AC26" s="1179"/>
      <c r="AD26" s="1179"/>
      <c r="AE26" s="1179"/>
      <c r="AF26" s="1179"/>
      <c r="AG26" s="1179"/>
      <c r="AH26" s="1179"/>
      <c r="AI26" s="1179"/>
      <c r="AJ26" s="1179"/>
      <c r="AK26" s="1179"/>
      <c r="AL26" s="1179"/>
      <c r="AM26" s="1179"/>
      <c r="AN26" s="1179"/>
      <c r="AO26" s="1179"/>
      <c r="AP26" s="1179"/>
      <c r="AQ26" s="1179"/>
    </row>
    <row r="27" spans="1:43" s="1852" customFormat="1" ht="17.25" hidden="1" customHeight="1">
      <c r="A27" s="244"/>
      <c r="C27" s="243"/>
      <c r="D27" s="2158"/>
      <c r="E27" s="2160"/>
      <c r="F27" s="2163"/>
      <c r="G27" s="2160"/>
      <c r="H27" s="1218"/>
      <c r="I27" s="1219"/>
      <c r="J27" s="1219"/>
      <c r="K27" s="1219"/>
      <c r="L27" s="1219"/>
      <c r="M27" s="1219"/>
      <c r="N27" s="1219"/>
      <c r="O27" s="1219"/>
      <c r="P27" s="1219"/>
      <c r="Q27" s="1219"/>
      <c r="R27" s="1219"/>
      <c r="S27" s="1220"/>
      <c r="T27" s="1220"/>
      <c r="U27" s="1220"/>
      <c r="V27" s="1220"/>
      <c r="W27" s="1221"/>
      <c r="X27" s="1179"/>
      <c r="Y27" s="1179"/>
      <c r="Z27" s="1179"/>
      <c r="AA27" s="1179"/>
      <c r="AB27" s="1179"/>
      <c r="AC27" s="1179"/>
      <c r="AD27" s="1179"/>
      <c r="AE27" s="1179"/>
      <c r="AF27" s="1179"/>
      <c r="AG27" s="1179"/>
      <c r="AH27" s="1179"/>
      <c r="AI27" s="1179"/>
      <c r="AJ27" s="1179"/>
      <c r="AK27" s="1179"/>
      <c r="AL27" s="1179"/>
      <c r="AM27" s="1179"/>
      <c r="AN27" s="1179"/>
      <c r="AO27" s="1179"/>
      <c r="AP27" s="1179"/>
      <c r="AQ27" s="1179"/>
    </row>
    <row r="28" spans="1:43" s="1852" customFormat="1" ht="17.25" hidden="1" customHeight="1">
      <c r="A28" s="244"/>
      <c r="C28" s="130"/>
      <c r="D28" s="2157">
        <v>4</v>
      </c>
      <c r="E28" s="2159" t="s">
        <v>171</v>
      </c>
      <c r="F28" s="2161" t="s">
        <v>56</v>
      </c>
      <c r="G28" s="2159"/>
      <c r="H28" s="2164"/>
      <c r="I28" s="2166"/>
      <c r="J28" s="2168"/>
      <c r="K28" s="2151"/>
      <c r="L28" s="2151"/>
      <c r="M28" s="2151"/>
      <c r="N28" s="2153"/>
      <c r="O28" s="2151"/>
      <c r="P28" s="2151"/>
      <c r="Q28" s="2151"/>
      <c r="R28" s="2156"/>
      <c r="S28" s="2151"/>
      <c r="T28" s="1335"/>
      <c r="U28" s="1335"/>
      <c r="V28" s="1334"/>
      <c r="W28" s="1215"/>
      <c r="X28" s="1186"/>
      <c r="Y28" s="1186"/>
      <c r="Z28" s="1186"/>
      <c r="AA28" s="1186"/>
      <c r="AB28" s="1186"/>
      <c r="AC28" s="1186" t="s">
        <v>172</v>
      </c>
      <c r="AD28" s="1186" t="s">
        <v>173</v>
      </c>
      <c r="AE28" s="1186" t="s">
        <v>174</v>
      </c>
      <c r="AF28" s="1186" t="s">
        <v>175</v>
      </c>
      <c r="AG28" s="1186" t="s">
        <v>176</v>
      </c>
      <c r="AH28" s="118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86" t="str">
        <f>IF($G$28=0,"",$G$28)</f>
        <v/>
      </c>
      <c r="AJ28" s="1186" t="str">
        <f>IF($J$28=0,"",$J$28)</f>
        <v/>
      </c>
      <c r="AK28" s="1186" t="str">
        <f>IF($K$28="нет","без дифференциации",IF($N$28=0,"",$N$28))</f>
        <v/>
      </c>
      <c r="AL28" s="1186" t="str">
        <f>IF($O$28="нет","без дифференциации",IF($R$28=0,"",$R$28))</f>
        <v/>
      </c>
      <c r="AM28" s="1186" t="str">
        <f>IF($S$28="нет","без дифференциации",IF($V$28=0,"",$V$28))</f>
        <v/>
      </c>
      <c r="AN28" s="1682">
        <f>$I$28</f>
        <v>0</v>
      </c>
      <c r="AO28" s="1186" t="str">
        <f>$I$28&amp;"."&amp;$M$28</f>
        <v>.</v>
      </c>
      <c r="AP28" s="1179" t="str">
        <f>$I$28&amp;"."&amp;$M$28&amp;"."&amp;$Q$28</f>
        <v>..</v>
      </c>
      <c r="AQ28" s="1179" t="str">
        <f>$I$28&amp;"."&amp;$M$28&amp;"."&amp;$Q$28&amp;"."&amp;$U$28</f>
        <v>...</v>
      </c>
    </row>
    <row r="29" spans="1:43" s="1852" customFormat="1" ht="17.25" hidden="1" customHeight="1">
      <c r="A29" s="244"/>
      <c r="C29" s="243"/>
      <c r="D29" s="2157"/>
      <c r="E29" s="2159"/>
      <c r="F29" s="2162"/>
      <c r="G29" s="2159"/>
      <c r="H29" s="2165"/>
      <c r="I29" s="2167"/>
      <c r="J29" s="2169"/>
      <c r="K29" s="2152"/>
      <c r="L29" s="2152"/>
      <c r="M29" s="2152"/>
      <c r="N29" s="2154"/>
      <c r="O29" s="2152"/>
      <c r="P29" s="2152"/>
      <c r="Q29" s="2152"/>
      <c r="R29" s="2155"/>
      <c r="S29" s="2152"/>
      <c r="T29" s="1216"/>
      <c r="U29" s="1216"/>
      <c r="V29" s="1216"/>
      <c r="W29" s="1217"/>
      <c r="X29" s="1179"/>
      <c r="Y29" s="1179"/>
      <c r="Z29" s="1179"/>
      <c r="AA29" s="1179"/>
      <c r="AB29" s="1179"/>
      <c r="AC29" s="1179"/>
      <c r="AD29" s="1179"/>
      <c r="AE29" s="1179"/>
      <c r="AF29" s="1179"/>
      <c r="AG29" s="1179"/>
      <c r="AH29" s="1179"/>
      <c r="AI29" s="1179"/>
      <c r="AJ29" s="1179"/>
      <c r="AK29" s="1179"/>
      <c r="AL29" s="1179"/>
      <c r="AM29" s="1179"/>
      <c r="AN29" s="1179"/>
      <c r="AO29" s="1179"/>
      <c r="AP29" s="1179"/>
      <c r="AQ29" s="1179"/>
    </row>
    <row r="30" spans="1:43" s="1852" customFormat="1" ht="17.25" hidden="1" customHeight="1">
      <c r="A30" s="244"/>
      <c r="C30" s="243"/>
      <c r="D30" s="2158"/>
      <c r="E30" s="2160"/>
      <c r="F30" s="2162"/>
      <c r="G30" s="2160"/>
      <c r="H30" s="2165"/>
      <c r="I30" s="2167"/>
      <c r="J30" s="2170"/>
      <c r="K30" s="2152"/>
      <c r="L30" s="2152"/>
      <c r="M30" s="2152"/>
      <c r="N30" s="2155"/>
      <c r="O30" s="2152"/>
      <c r="P30" s="1333"/>
      <c r="Q30" s="1216"/>
      <c r="R30" s="1216"/>
      <c r="S30" s="255"/>
      <c r="T30" s="255"/>
      <c r="U30" s="255"/>
      <c r="V30" s="255"/>
      <c r="W30" s="1217"/>
      <c r="X30" s="1179"/>
      <c r="Y30" s="1179"/>
      <c r="Z30" s="1179"/>
      <c r="AA30" s="1179"/>
      <c r="AB30" s="1179"/>
      <c r="AC30" s="1179"/>
      <c r="AD30" s="1179"/>
      <c r="AE30" s="1179"/>
      <c r="AF30" s="1179"/>
      <c r="AG30" s="1179"/>
      <c r="AH30" s="1179"/>
      <c r="AI30" s="1179"/>
      <c r="AJ30" s="1179"/>
      <c r="AK30" s="1179"/>
      <c r="AL30" s="1179"/>
      <c r="AM30" s="1179"/>
      <c r="AN30" s="1179"/>
      <c r="AO30" s="1179"/>
      <c r="AP30" s="1179"/>
      <c r="AQ30" s="1179"/>
    </row>
    <row r="31" spans="1:43" s="1852" customFormat="1" ht="17.25" hidden="1" customHeight="1">
      <c r="A31" s="244"/>
      <c r="C31" s="243"/>
      <c r="D31" s="2158"/>
      <c r="E31" s="2160"/>
      <c r="F31" s="2162"/>
      <c r="G31" s="2160"/>
      <c r="H31" s="2165"/>
      <c r="I31" s="2167"/>
      <c r="J31" s="2170"/>
      <c r="K31" s="2152"/>
      <c r="L31" s="1216"/>
      <c r="M31" s="1216"/>
      <c r="N31" s="1216"/>
      <c r="O31" s="1216"/>
      <c r="P31" s="1216"/>
      <c r="Q31" s="1216"/>
      <c r="R31" s="1216"/>
      <c r="S31" s="255"/>
      <c r="T31" s="255"/>
      <c r="U31" s="255"/>
      <c r="V31" s="255"/>
      <c r="W31" s="1217"/>
      <c r="X31" s="1179"/>
      <c r="Y31" s="1179"/>
      <c r="Z31" s="1179"/>
      <c r="AA31" s="1179"/>
      <c r="AB31" s="1179"/>
      <c r="AC31" s="1179"/>
      <c r="AD31" s="1179"/>
      <c r="AE31" s="1179"/>
      <c r="AF31" s="1179"/>
      <c r="AG31" s="1179"/>
      <c r="AH31" s="1179"/>
      <c r="AI31" s="1179"/>
      <c r="AJ31" s="1179"/>
      <c r="AK31" s="1179"/>
      <c r="AL31" s="1179"/>
      <c r="AM31" s="1179"/>
      <c r="AN31" s="1179"/>
      <c r="AO31" s="1179"/>
      <c r="AP31" s="1179"/>
      <c r="AQ31" s="1179"/>
    </row>
    <row r="32" spans="1:43" s="1852" customFormat="1" ht="17.25" hidden="1" customHeight="1">
      <c r="A32" s="244"/>
      <c r="C32" s="243"/>
      <c r="D32" s="2158"/>
      <c r="E32" s="2160"/>
      <c r="F32" s="2163"/>
      <c r="G32" s="2160"/>
      <c r="H32" s="1218"/>
      <c r="I32" s="1219"/>
      <c r="J32" s="1219"/>
      <c r="K32" s="1219"/>
      <c r="L32" s="1219"/>
      <c r="M32" s="1219"/>
      <c r="N32" s="1219"/>
      <c r="O32" s="1219"/>
      <c r="P32" s="1219"/>
      <c r="Q32" s="1219"/>
      <c r="R32" s="1219"/>
      <c r="S32" s="1220"/>
      <c r="T32" s="1220"/>
      <c r="U32" s="1220"/>
      <c r="V32" s="1220"/>
      <c r="W32" s="1221"/>
      <c r="X32" s="1179"/>
      <c r="Y32" s="1179"/>
      <c r="Z32" s="1179"/>
      <c r="AA32" s="1179"/>
      <c r="AB32" s="1179"/>
      <c r="AC32" s="1179"/>
      <c r="AD32" s="1179"/>
      <c r="AE32" s="1179"/>
      <c r="AF32" s="1179"/>
      <c r="AG32" s="1179"/>
      <c r="AH32" s="1179"/>
      <c r="AI32" s="1179"/>
      <c r="AJ32" s="1179"/>
      <c r="AK32" s="1179"/>
      <c r="AL32" s="1179"/>
      <c r="AM32" s="1179"/>
      <c r="AN32" s="1179"/>
      <c r="AO32" s="1179"/>
      <c r="AP32" s="1179"/>
      <c r="AQ32" s="1179"/>
    </row>
    <row r="33" spans="1:43" s="1852" customFormat="1" ht="17.25" hidden="1" customHeight="1">
      <c r="A33" s="244"/>
      <c r="C33" s="130"/>
      <c r="D33" s="2157">
        <v>5</v>
      </c>
      <c r="E33" s="2159" t="s">
        <v>177</v>
      </c>
      <c r="F33" s="2161" t="s">
        <v>56</v>
      </c>
      <c r="G33" s="2159"/>
      <c r="H33" s="2164"/>
      <c r="I33" s="2166"/>
      <c r="J33" s="2168"/>
      <c r="K33" s="2151"/>
      <c r="L33" s="2151"/>
      <c r="M33" s="2151"/>
      <c r="N33" s="2153"/>
      <c r="O33" s="2151"/>
      <c r="P33" s="2151"/>
      <c r="Q33" s="2151"/>
      <c r="R33" s="2156"/>
      <c r="S33" s="2151"/>
      <c r="T33" s="1335"/>
      <c r="U33" s="1335"/>
      <c r="V33" s="1334"/>
      <c r="W33" s="1215"/>
      <c r="X33" s="1186"/>
      <c r="Y33" s="1186"/>
      <c r="Z33" s="1186"/>
      <c r="AA33" s="1186"/>
      <c r="AB33" s="1186"/>
      <c r="AC33" s="1186" t="s">
        <v>178</v>
      </c>
      <c r="AD33" s="1186" t="s">
        <v>179</v>
      </c>
      <c r="AE33" s="1186" t="s">
        <v>180</v>
      </c>
      <c r="AF33" s="1186" t="s">
        <v>181</v>
      </c>
      <c r="AG33" s="1186" t="s">
        <v>182</v>
      </c>
      <c r="AH33" s="1186" t="str">
        <f>IF($E$33=0,"",$E$33)</f>
        <v>Тарифы на услуги по передаче тепловой энергии</v>
      </c>
      <c r="AI33" s="1186" t="str">
        <f>IF($G$33=0,"",$G$33)</f>
        <v/>
      </c>
      <c r="AJ33" s="1186" t="str">
        <f>IF($J$33=0,"",$J$33)</f>
        <v/>
      </c>
      <c r="AK33" s="1186" t="str">
        <f>IF($K$33="нет","без дифференциации",IF($N$33=0,"",$N$33))</f>
        <v/>
      </c>
      <c r="AL33" s="1186" t="str">
        <f>IF($O$33="нет","без дифференциации",IF($R$33=0,"",$R$33))</f>
        <v/>
      </c>
      <c r="AM33" s="1186" t="str">
        <f>IF($S$33="нет","без дифференциации",IF($V$33=0,"",$V$33))</f>
        <v/>
      </c>
      <c r="AN33" s="1682">
        <f>$I$33</f>
        <v>0</v>
      </c>
      <c r="AO33" s="1186" t="str">
        <f>$I$33&amp;"."&amp;$M$33</f>
        <v>.</v>
      </c>
      <c r="AP33" s="1179" t="str">
        <f>$I$33&amp;"."&amp;$M$33&amp;"."&amp;$Q$33</f>
        <v>..</v>
      </c>
      <c r="AQ33" s="1179" t="str">
        <f>$I$33&amp;"."&amp;$M$33&amp;"."&amp;$Q$33&amp;"."&amp;$U$33</f>
        <v>...</v>
      </c>
    </row>
    <row r="34" spans="1:43" s="1852" customFormat="1" ht="17.25" hidden="1" customHeight="1">
      <c r="A34" s="244"/>
      <c r="C34" s="243"/>
      <c r="D34" s="2157"/>
      <c r="E34" s="2159"/>
      <c r="F34" s="2162"/>
      <c r="G34" s="2159"/>
      <c r="H34" s="2165"/>
      <c r="I34" s="2167"/>
      <c r="J34" s="2169"/>
      <c r="K34" s="2152"/>
      <c r="L34" s="2152"/>
      <c r="M34" s="2152"/>
      <c r="N34" s="2154"/>
      <c r="O34" s="2152"/>
      <c r="P34" s="2152"/>
      <c r="Q34" s="2152"/>
      <c r="R34" s="2155"/>
      <c r="S34" s="2152"/>
      <c r="T34" s="1216"/>
      <c r="U34" s="1216"/>
      <c r="V34" s="1216"/>
      <c r="W34" s="1217"/>
      <c r="X34" s="1179"/>
      <c r="Y34" s="1179"/>
      <c r="Z34" s="1179"/>
      <c r="AA34" s="1179"/>
      <c r="AB34" s="1179"/>
      <c r="AC34" s="1179"/>
      <c r="AD34" s="1179"/>
      <c r="AE34" s="1179"/>
      <c r="AF34" s="1179"/>
      <c r="AG34" s="1179"/>
      <c r="AH34" s="1179"/>
      <c r="AI34" s="1179"/>
      <c r="AJ34" s="1179"/>
      <c r="AK34" s="1179"/>
      <c r="AL34" s="1179"/>
      <c r="AM34" s="1179"/>
      <c r="AN34" s="1179"/>
      <c r="AO34" s="1179"/>
      <c r="AP34" s="1179"/>
      <c r="AQ34" s="1179"/>
    </row>
    <row r="35" spans="1:43" s="1852" customFormat="1" ht="17.25" hidden="1" customHeight="1">
      <c r="A35" s="244"/>
      <c r="C35" s="243"/>
      <c r="D35" s="2158"/>
      <c r="E35" s="2160"/>
      <c r="F35" s="2162"/>
      <c r="G35" s="2160"/>
      <c r="H35" s="2165"/>
      <c r="I35" s="2167"/>
      <c r="J35" s="2170"/>
      <c r="K35" s="2152"/>
      <c r="L35" s="2152"/>
      <c r="M35" s="2152"/>
      <c r="N35" s="2155"/>
      <c r="O35" s="2152"/>
      <c r="P35" s="1333"/>
      <c r="Q35" s="1216"/>
      <c r="R35" s="1216"/>
      <c r="S35" s="255"/>
      <c r="T35" s="255"/>
      <c r="U35" s="255"/>
      <c r="V35" s="255"/>
      <c r="W35" s="1217"/>
      <c r="X35" s="1179"/>
      <c r="Y35" s="1179"/>
      <c r="Z35" s="1179"/>
      <c r="AA35" s="1179"/>
      <c r="AB35" s="1179"/>
      <c r="AC35" s="1179"/>
      <c r="AD35" s="1179"/>
      <c r="AE35" s="1179"/>
      <c r="AF35" s="1179"/>
      <c r="AG35" s="1179"/>
      <c r="AH35" s="1179"/>
      <c r="AI35" s="1179"/>
      <c r="AJ35" s="1179"/>
      <c r="AK35" s="1179"/>
      <c r="AL35" s="1179"/>
      <c r="AM35" s="1179"/>
      <c r="AN35" s="1179"/>
      <c r="AO35" s="1179"/>
      <c r="AP35" s="1179"/>
      <c r="AQ35" s="1179"/>
    </row>
    <row r="36" spans="1:43" s="1852" customFormat="1" ht="17.25" hidden="1" customHeight="1">
      <c r="A36" s="244"/>
      <c r="C36" s="243"/>
      <c r="D36" s="2158"/>
      <c r="E36" s="2160"/>
      <c r="F36" s="2162"/>
      <c r="G36" s="2160"/>
      <c r="H36" s="2165"/>
      <c r="I36" s="2167"/>
      <c r="J36" s="2170"/>
      <c r="K36" s="2152"/>
      <c r="L36" s="1216"/>
      <c r="M36" s="1216"/>
      <c r="N36" s="1216"/>
      <c r="O36" s="1216"/>
      <c r="P36" s="1216"/>
      <c r="Q36" s="1216"/>
      <c r="R36" s="1216"/>
      <c r="S36" s="255"/>
      <c r="T36" s="255"/>
      <c r="U36" s="255"/>
      <c r="V36" s="255"/>
      <c r="W36" s="1217"/>
      <c r="X36" s="1179"/>
      <c r="Y36" s="1179"/>
      <c r="Z36" s="1179"/>
      <c r="AA36" s="1179"/>
      <c r="AB36" s="1179"/>
      <c r="AC36" s="1179"/>
      <c r="AD36" s="1179"/>
      <c r="AE36" s="1179"/>
      <c r="AF36" s="1179"/>
      <c r="AG36" s="1179"/>
      <c r="AH36" s="1179"/>
      <c r="AI36" s="1179"/>
      <c r="AJ36" s="1179"/>
      <c r="AK36" s="1179"/>
      <c r="AL36" s="1179"/>
      <c r="AM36" s="1179"/>
      <c r="AN36" s="1179"/>
      <c r="AO36" s="1179"/>
      <c r="AP36" s="1179"/>
      <c r="AQ36" s="1179"/>
    </row>
    <row r="37" spans="1:43" s="1852" customFormat="1" ht="17.25" hidden="1" customHeight="1">
      <c r="A37" s="244"/>
      <c r="C37" s="243"/>
      <c r="D37" s="2158"/>
      <c r="E37" s="2160"/>
      <c r="F37" s="2163"/>
      <c r="G37" s="2160"/>
      <c r="H37" s="1218"/>
      <c r="I37" s="1219"/>
      <c r="J37" s="1219"/>
      <c r="K37" s="1219"/>
      <c r="L37" s="1219"/>
      <c r="M37" s="1219"/>
      <c r="N37" s="1219"/>
      <c r="O37" s="1219"/>
      <c r="P37" s="1219"/>
      <c r="Q37" s="1219"/>
      <c r="R37" s="1219"/>
      <c r="S37" s="1220"/>
      <c r="T37" s="1220"/>
      <c r="U37" s="1220"/>
      <c r="V37" s="1220"/>
      <c r="W37" s="1221"/>
      <c r="X37" s="1179"/>
      <c r="Y37" s="1179"/>
      <c r="Z37" s="1179"/>
      <c r="AA37" s="1179"/>
      <c r="AB37" s="1179"/>
      <c r="AC37" s="1179"/>
      <c r="AD37" s="1179"/>
      <c r="AE37" s="1179"/>
      <c r="AF37" s="1179"/>
      <c r="AG37" s="1179"/>
      <c r="AH37" s="1179"/>
      <c r="AI37" s="1179"/>
      <c r="AJ37" s="1179"/>
      <c r="AK37" s="1179"/>
      <c r="AL37" s="1179"/>
      <c r="AM37" s="1179"/>
      <c r="AN37" s="1179"/>
      <c r="AO37" s="1179"/>
      <c r="AP37" s="1179"/>
      <c r="AQ37" s="1179"/>
    </row>
    <row r="38" spans="1:43" s="1852" customFormat="1" ht="17.25" hidden="1" customHeight="1">
      <c r="A38" s="244"/>
      <c r="C38" s="130"/>
      <c r="D38" s="2157">
        <v>6</v>
      </c>
      <c r="E38" s="2159" t="s">
        <v>183</v>
      </c>
      <c r="F38" s="2161" t="s">
        <v>56</v>
      </c>
      <c r="G38" s="2159"/>
      <c r="H38" s="2164"/>
      <c r="I38" s="2166"/>
      <c r="J38" s="2168"/>
      <c r="K38" s="2151"/>
      <c r="L38" s="2151"/>
      <c r="M38" s="2151"/>
      <c r="N38" s="2153"/>
      <c r="O38" s="2151"/>
      <c r="P38" s="2151"/>
      <c r="Q38" s="2151"/>
      <c r="R38" s="2156"/>
      <c r="S38" s="2151"/>
      <c r="T38" s="1335"/>
      <c r="U38" s="1335"/>
      <c r="V38" s="1334"/>
      <c r="W38" s="1215"/>
      <c r="X38" s="1186"/>
      <c r="Y38" s="1186"/>
      <c r="Z38" s="1186"/>
      <c r="AA38" s="1186"/>
      <c r="AB38" s="1186"/>
      <c r="AC38" s="1186" t="s">
        <v>184</v>
      </c>
      <c r="AD38" s="1186" t="s">
        <v>185</v>
      </c>
      <c r="AE38" s="1186" t="s">
        <v>186</v>
      </c>
      <c r="AF38" s="1186" t="s">
        <v>187</v>
      </c>
      <c r="AG38" s="1186" t="s">
        <v>188</v>
      </c>
      <c r="AH38" s="1186" t="str">
        <f>IF($E$38=0,"",$E$38)</f>
        <v>Тарифы на услуги по передаче теплоносителя</v>
      </c>
      <c r="AI38" s="1186" t="str">
        <f>IF($G$38=0,"",$G$38)</f>
        <v/>
      </c>
      <c r="AJ38" s="1186" t="str">
        <f>IF($J$38=0,"",$J$38)</f>
        <v/>
      </c>
      <c r="AK38" s="1186" t="str">
        <f>IF($K$38="нет","без дифференциации",IF($N$38=0,"",$N$38))</f>
        <v/>
      </c>
      <c r="AL38" s="1186" t="str">
        <f>IF($O$38="нет","без дифференциации",IF($R$38=0,"",$R$38))</f>
        <v/>
      </c>
      <c r="AM38" s="1186" t="str">
        <f>IF($S$38="нет","без дифференциации",IF($V$38=0,"",$V$38))</f>
        <v/>
      </c>
      <c r="AN38" s="1682">
        <f>$I$38</f>
        <v>0</v>
      </c>
      <c r="AO38" s="1186" t="str">
        <f>$I$38&amp;"."&amp;$M$38</f>
        <v>.</v>
      </c>
      <c r="AP38" s="1179" t="str">
        <f>$I$38&amp;"."&amp;$M$38&amp;"."&amp;$Q$38</f>
        <v>..</v>
      </c>
      <c r="AQ38" s="1179" t="str">
        <f>$I$38&amp;"."&amp;$M$38&amp;"."&amp;$Q$38&amp;"."&amp;$U$38</f>
        <v>...</v>
      </c>
    </row>
    <row r="39" spans="1:43" s="1852" customFormat="1" ht="17.25" hidden="1" customHeight="1">
      <c r="A39" s="244"/>
      <c r="C39" s="243"/>
      <c r="D39" s="2157"/>
      <c r="E39" s="2159"/>
      <c r="F39" s="2162"/>
      <c r="G39" s="2159"/>
      <c r="H39" s="2165"/>
      <c r="I39" s="2167"/>
      <c r="J39" s="2169"/>
      <c r="K39" s="2152"/>
      <c r="L39" s="2152"/>
      <c r="M39" s="2152"/>
      <c r="N39" s="2154"/>
      <c r="O39" s="2152"/>
      <c r="P39" s="2152"/>
      <c r="Q39" s="2152"/>
      <c r="R39" s="2155"/>
      <c r="S39" s="2152"/>
      <c r="T39" s="1216"/>
      <c r="U39" s="1216"/>
      <c r="V39" s="1216"/>
      <c r="W39" s="1217"/>
      <c r="X39" s="1179"/>
      <c r="Y39" s="1179"/>
      <c r="Z39" s="1179"/>
      <c r="AA39" s="1179"/>
      <c r="AB39" s="1179"/>
      <c r="AC39" s="1179"/>
      <c r="AD39" s="1179"/>
      <c r="AE39" s="1179"/>
      <c r="AF39" s="1179"/>
      <c r="AG39" s="1179"/>
      <c r="AH39" s="1179"/>
      <c r="AI39" s="1179"/>
      <c r="AJ39" s="1179"/>
      <c r="AK39" s="1179"/>
      <c r="AL39" s="1179"/>
      <c r="AM39" s="1179"/>
      <c r="AN39" s="1179"/>
      <c r="AO39" s="1179"/>
      <c r="AP39" s="1179"/>
      <c r="AQ39" s="1179"/>
    </row>
    <row r="40" spans="1:43" s="1852" customFormat="1" ht="17.25" hidden="1" customHeight="1">
      <c r="A40" s="244"/>
      <c r="C40" s="243"/>
      <c r="D40" s="2158"/>
      <c r="E40" s="2160"/>
      <c r="F40" s="2162"/>
      <c r="G40" s="2160"/>
      <c r="H40" s="2165"/>
      <c r="I40" s="2167"/>
      <c r="J40" s="2170"/>
      <c r="K40" s="2152"/>
      <c r="L40" s="2152"/>
      <c r="M40" s="2152"/>
      <c r="N40" s="2155"/>
      <c r="O40" s="2152"/>
      <c r="P40" s="1333"/>
      <c r="Q40" s="1216"/>
      <c r="R40" s="1216"/>
      <c r="S40" s="255"/>
      <c r="T40" s="255"/>
      <c r="U40" s="255"/>
      <c r="V40" s="255"/>
      <c r="W40" s="1217"/>
      <c r="X40" s="1179"/>
      <c r="Y40" s="1179"/>
      <c r="Z40" s="1179"/>
      <c r="AA40" s="1179"/>
      <c r="AB40" s="1179"/>
      <c r="AC40" s="1179"/>
      <c r="AD40" s="1179"/>
      <c r="AE40" s="1179"/>
      <c r="AF40" s="1179"/>
      <c r="AG40" s="1179"/>
      <c r="AH40" s="1179"/>
      <c r="AI40" s="1179"/>
      <c r="AJ40" s="1179"/>
      <c r="AK40" s="1179"/>
      <c r="AL40" s="1179"/>
      <c r="AM40" s="1179"/>
      <c r="AN40" s="1179"/>
      <c r="AO40" s="1179"/>
      <c r="AP40" s="1179"/>
      <c r="AQ40" s="1179"/>
    </row>
    <row r="41" spans="1:43" s="1853" customFormat="1" ht="17.25" hidden="1" customHeight="1">
      <c r="A41" s="244"/>
      <c r="C41" s="130"/>
      <c r="D41" s="2158"/>
      <c r="E41" s="2160"/>
      <c r="F41" s="2162"/>
      <c r="G41" s="2160"/>
      <c r="H41" s="2165"/>
      <c r="I41" s="2167"/>
      <c r="J41" s="2170"/>
      <c r="K41" s="2152"/>
      <c r="L41" s="1216"/>
      <c r="M41" s="1216"/>
      <c r="N41" s="1216"/>
      <c r="O41" s="1216"/>
      <c r="P41" s="1216"/>
      <c r="Q41" s="1216"/>
      <c r="R41" s="1216"/>
      <c r="S41" s="255"/>
      <c r="T41" s="255"/>
      <c r="U41" s="255"/>
      <c r="V41" s="255"/>
      <c r="W41" s="1217"/>
      <c r="Y41" s="1186"/>
      <c r="Z41" s="1186"/>
      <c r="AA41" s="1186"/>
      <c r="AB41" s="1186"/>
      <c r="AC41" s="1186"/>
      <c r="AD41" s="1186"/>
      <c r="AE41" s="1186"/>
      <c r="AF41" s="1186"/>
      <c r="AG41" s="1186"/>
      <c r="AH41" s="1186"/>
      <c r="AI41" s="1186"/>
      <c r="AJ41" s="1186"/>
      <c r="AK41" s="1186"/>
      <c r="AL41" s="1186"/>
      <c r="AM41" s="1186"/>
      <c r="AN41" s="1186"/>
      <c r="AO41" s="1186"/>
      <c r="AP41" s="1186"/>
      <c r="AQ41" s="1186"/>
    </row>
    <row r="42" spans="1:43" s="1852" customFormat="1" ht="17.25" hidden="1" customHeight="1">
      <c r="A42" s="244"/>
      <c r="C42" s="243"/>
      <c r="D42" s="2158"/>
      <c r="E42" s="2160"/>
      <c r="F42" s="2163"/>
      <c r="G42" s="2160"/>
      <c r="H42" s="1218"/>
      <c r="I42" s="1219"/>
      <c r="J42" s="1219"/>
      <c r="K42" s="1219"/>
      <c r="L42" s="1219"/>
      <c r="M42" s="1219"/>
      <c r="N42" s="1219"/>
      <c r="O42" s="1219"/>
      <c r="P42" s="1219"/>
      <c r="Q42" s="1219"/>
      <c r="R42" s="1219"/>
      <c r="S42" s="1220"/>
      <c r="T42" s="1220"/>
      <c r="U42" s="1220"/>
      <c r="V42" s="1220"/>
      <c r="W42" s="1221"/>
      <c r="X42" s="1179"/>
      <c r="Y42" s="1179"/>
      <c r="Z42" s="1179"/>
      <c r="AA42" s="1179"/>
      <c r="AB42" s="1179"/>
      <c r="AC42" s="1179"/>
      <c r="AD42" s="1179"/>
      <c r="AE42" s="1179"/>
      <c r="AF42" s="1179"/>
      <c r="AG42" s="1179"/>
      <c r="AH42" s="1179"/>
      <c r="AI42" s="1179"/>
      <c r="AJ42" s="1179"/>
      <c r="AK42" s="1179"/>
      <c r="AL42" s="1179"/>
      <c r="AM42" s="1179"/>
      <c r="AN42" s="1179"/>
      <c r="AO42" s="1179"/>
      <c r="AP42" s="1179"/>
      <c r="AQ42" s="1179"/>
    </row>
    <row r="43" spans="1:43" s="1854" customFormat="1" ht="17.25" hidden="1" customHeight="1">
      <c r="A43" s="244"/>
      <c r="C43" s="130"/>
      <c r="D43" s="2182">
        <v>7</v>
      </c>
      <c r="E43" s="2185" t="s">
        <v>189</v>
      </c>
      <c r="F43" s="2161" t="s">
        <v>56</v>
      </c>
      <c r="G43" s="2185"/>
      <c r="H43" s="2164"/>
      <c r="I43" s="2166"/>
      <c r="J43" s="2168"/>
      <c r="K43" s="2151"/>
      <c r="L43" s="2151"/>
      <c r="M43" s="2151"/>
      <c r="N43" s="2153"/>
      <c r="O43" s="2151"/>
      <c r="P43" s="2151"/>
      <c r="Q43" s="2151"/>
      <c r="R43" s="2156"/>
      <c r="S43" s="2151"/>
      <c r="T43" s="1335"/>
      <c r="U43" s="1335"/>
      <c r="V43" s="1334"/>
      <c r="W43" s="1215"/>
      <c r="X43" s="1186"/>
      <c r="Y43" s="1186"/>
      <c r="Z43" s="1186"/>
      <c r="AA43" s="1186"/>
      <c r="AB43" s="1186"/>
      <c r="AC43" s="1186" t="s">
        <v>190</v>
      </c>
      <c r="AD43" s="1186" t="s">
        <v>191</v>
      </c>
      <c r="AE43" s="1186" t="s">
        <v>192</v>
      </c>
      <c r="AF43" s="1186" t="s">
        <v>193</v>
      </c>
      <c r="AG43" s="1186" t="s">
        <v>194</v>
      </c>
      <c r="AH43" s="1186" t="str">
        <f>IF($E$43=0,"",$E$43)</f>
        <v>Плата за услуги по поддержанию резервной тепловой мощности при отсутствии потребления тепловой энергии</v>
      </c>
      <c r="AI43" s="1186" t="str">
        <f>IF($G$43=0,"",$G$43)</f>
        <v/>
      </c>
      <c r="AJ43" s="1186" t="str">
        <f>IF($J$43=0,"",$J$43)</f>
        <v/>
      </c>
      <c r="AK43" s="1186" t="str">
        <f>IF($K$43="нет","без дифференциации",IF($N$43=0,"",$N$43))</f>
        <v/>
      </c>
      <c r="AL43" s="1186" t="str">
        <f>IF($O$43="нет","без дифференциации",IF($R$43=0,"",$R$43))</f>
        <v/>
      </c>
      <c r="AM43" s="1186" t="str">
        <f>IF($S$43="нет","без дифференциации",IF($V$43=0,"",$V$43))</f>
        <v/>
      </c>
      <c r="AN43" s="1682">
        <f>$I$43</f>
        <v>0</v>
      </c>
      <c r="AO43" s="1186" t="str">
        <f>$I$43&amp;"."&amp;$M$43</f>
        <v>.</v>
      </c>
      <c r="AP43" s="1179" t="str">
        <f>$I$43&amp;"."&amp;$M$43&amp;"."&amp;$Q$43</f>
        <v>..</v>
      </c>
      <c r="AQ43" s="1179" t="str">
        <f>$I$43&amp;"."&amp;$M$43&amp;"."&amp;$Q$43&amp;"."&amp;$U$43</f>
        <v>...</v>
      </c>
    </row>
    <row r="44" spans="1:43" s="1854" customFormat="1" ht="17.25" hidden="1" customHeight="1">
      <c r="A44" s="244"/>
      <c r="C44" s="243"/>
      <c r="D44" s="2183"/>
      <c r="E44" s="2186"/>
      <c r="F44" s="2162"/>
      <c r="G44" s="2186"/>
      <c r="H44" s="2165"/>
      <c r="I44" s="2167"/>
      <c r="J44" s="2169"/>
      <c r="K44" s="2152"/>
      <c r="L44" s="2152"/>
      <c r="M44" s="2152"/>
      <c r="N44" s="2154"/>
      <c r="O44" s="2152"/>
      <c r="P44" s="2152"/>
      <c r="Q44" s="2152"/>
      <c r="R44" s="2155"/>
      <c r="S44" s="2152"/>
      <c r="T44" s="1216"/>
      <c r="U44" s="1216"/>
      <c r="V44" s="1216"/>
      <c r="W44" s="1217"/>
      <c r="X44" s="1179"/>
      <c r="Y44" s="1179"/>
      <c r="Z44" s="1179"/>
      <c r="AA44" s="1179"/>
      <c r="AB44" s="1179"/>
      <c r="AC44" s="1179"/>
      <c r="AD44" s="1179"/>
      <c r="AE44" s="1179"/>
      <c r="AF44" s="1179"/>
      <c r="AG44" s="1179"/>
      <c r="AH44" s="1179"/>
      <c r="AI44" s="1179"/>
      <c r="AJ44" s="1179"/>
      <c r="AK44" s="1179"/>
      <c r="AL44" s="1179"/>
      <c r="AM44" s="1179"/>
      <c r="AN44" s="1179"/>
      <c r="AO44" s="1179"/>
      <c r="AP44" s="1179"/>
      <c r="AQ44" s="1179"/>
    </row>
    <row r="45" spans="1:43" s="1854" customFormat="1" ht="17.25" hidden="1" customHeight="1">
      <c r="A45" s="244"/>
      <c r="C45" s="243"/>
      <c r="D45" s="2183"/>
      <c r="E45" s="2186"/>
      <c r="F45" s="2162"/>
      <c r="G45" s="2186"/>
      <c r="H45" s="2165"/>
      <c r="I45" s="2167"/>
      <c r="J45" s="2170"/>
      <c r="K45" s="2152"/>
      <c r="L45" s="2152"/>
      <c r="M45" s="2152"/>
      <c r="N45" s="2155"/>
      <c r="O45" s="2152"/>
      <c r="P45" s="1333"/>
      <c r="Q45" s="1216"/>
      <c r="R45" s="1216"/>
      <c r="S45" s="255"/>
      <c r="T45" s="255"/>
      <c r="U45" s="255"/>
      <c r="V45" s="255"/>
      <c r="W45" s="1217"/>
      <c r="X45" s="1179"/>
      <c r="Y45" s="1179"/>
      <c r="Z45" s="1179"/>
      <c r="AA45" s="1179"/>
      <c r="AB45" s="1179"/>
      <c r="AC45" s="1179"/>
      <c r="AD45" s="1179"/>
      <c r="AE45" s="1179"/>
      <c r="AF45" s="1179"/>
      <c r="AG45" s="1179"/>
      <c r="AH45" s="1179"/>
      <c r="AI45" s="1179"/>
      <c r="AJ45" s="1179"/>
      <c r="AK45" s="1179"/>
      <c r="AL45" s="1179"/>
      <c r="AM45" s="1179"/>
      <c r="AN45" s="1179"/>
      <c r="AO45" s="1179"/>
      <c r="AP45" s="1179"/>
      <c r="AQ45" s="1179"/>
    </row>
    <row r="46" spans="1:43" s="1853" customFormat="1" ht="17.25" hidden="1" customHeight="1">
      <c r="A46" s="244"/>
      <c r="C46" s="130"/>
      <c r="D46" s="2183"/>
      <c r="E46" s="2186"/>
      <c r="F46" s="2162"/>
      <c r="G46" s="2186"/>
      <c r="H46" s="2165"/>
      <c r="I46" s="2167"/>
      <c r="J46" s="2170"/>
      <c r="K46" s="2152"/>
      <c r="L46" s="1216"/>
      <c r="M46" s="1216"/>
      <c r="N46" s="1216"/>
      <c r="O46" s="1216"/>
      <c r="P46" s="1216"/>
      <c r="Q46" s="1216"/>
      <c r="R46" s="1216"/>
      <c r="S46" s="255"/>
      <c r="T46" s="255"/>
      <c r="U46" s="255"/>
      <c r="V46" s="255"/>
      <c r="W46" s="1217"/>
      <c r="Y46" s="1186"/>
      <c r="Z46" s="1186"/>
      <c r="AA46" s="1186"/>
      <c r="AB46" s="1186"/>
      <c r="AC46" s="1186"/>
      <c r="AD46" s="1186"/>
      <c r="AE46" s="1186"/>
      <c r="AF46" s="1186"/>
      <c r="AG46" s="1186"/>
      <c r="AH46" s="1186"/>
      <c r="AI46" s="1186"/>
      <c r="AJ46" s="1186"/>
      <c r="AK46" s="1186"/>
      <c r="AL46" s="1186"/>
      <c r="AM46" s="1186"/>
      <c r="AN46" s="1186"/>
      <c r="AO46" s="1186"/>
      <c r="AP46" s="1186"/>
      <c r="AQ46" s="1186"/>
    </row>
    <row r="47" spans="1:43" s="1854" customFormat="1" ht="17.25" hidden="1" customHeight="1">
      <c r="A47" s="244"/>
      <c r="C47" s="243"/>
      <c r="D47" s="2184"/>
      <c r="E47" s="2187"/>
      <c r="F47" s="2163"/>
      <c r="G47" s="2187"/>
      <c r="H47" s="1218"/>
      <c r="I47" s="1219"/>
      <c r="J47" s="1219"/>
      <c r="K47" s="1219"/>
      <c r="L47" s="1219"/>
      <c r="M47" s="1219"/>
      <c r="N47" s="1219"/>
      <c r="O47" s="1219"/>
      <c r="P47" s="1219"/>
      <c r="Q47" s="1219"/>
      <c r="R47" s="1219"/>
      <c r="S47" s="1220"/>
      <c r="T47" s="1220"/>
      <c r="U47" s="1220"/>
      <c r="V47" s="1220"/>
      <c r="W47" s="1221"/>
      <c r="X47" s="1179"/>
      <c r="Y47" s="1179"/>
      <c r="Z47" s="1179"/>
      <c r="AA47" s="1179"/>
      <c r="AB47" s="1179"/>
      <c r="AC47" s="1179"/>
      <c r="AD47" s="1179"/>
      <c r="AE47" s="1179"/>
      <c r="AF47" s="1179"/>
      <c r="AG47" s="1179"/>
      <c r="AH47" s="1179"/>
      <c r="AI47" s="1179"/>
      <c r="AJ47" s="1179"/>
      <c r="AK47" s="1179"/>
      <c r="AL47" s="1179"/>
      <c r="AM47" s="1179"/>
      <c r="AN47" s="1179"/>
      <c r="AO47" s="1179"/>
      <c r="AP47" s="1179"/>
      <c r="AQ47" s="1179"/>
    </row>
    <row r="48" spans="1:43" s="1854" customFormat="1" ht="17.25" hidden="1" customHeight="1">
      <c r="A48" s="244"/>
      <c r="C48" s="130"/>
      <c r="D48" s="2157">
        <v>8</v>
      </c>
      <c r="E48" s="2159" t="s">
        <v>195</v>
      </c>
      <c r="F48" s="2161" t="s">
        <v>56</v>
      </c>
      <c r="G48" s="2159"/>
      <c r="H48" s="2164"/>
      <c r="I48" s="2166"/>
      <c r="J48" s="2168"/>
      <c r="K48" s="2151"/>
      <c r="L48" s="2151"/>
      <c r="M48" s="2151"/>
      <c r="N48" s="2153"/>
      <c r="O48" s="2151"/>
      <c r="P48" s="2151"/>
      <c r="Q48" s="2151"/>
      <c r="R48" s="2156"/>
      <c r="S48" s="2151"/>
      <c r="T48" s="1381"/>
      <c r="U48" s="1381"/>
      <c r="V48" s="1383"/>
      <c r="W48" s="1215"/>
      <c r="X48" s="1186"/>
      <c r="Y48" s="1186"/>
      <c r="Z48" s="1186"/>
      <c r="AA48" s="1186"/>
      <c r="AB48" s="1186"/>
      <c r="AC48" s="1186" t="s">
        <v>196</v>
      </c>
      <c r="AD48" s="1186" t="s">
        <v>197</v>
      </c>
      <c r="AE48" s="1186" t="s">
        <v>198</v>
      </c>
      <c r="AF48" s="1186" t="s">
        <v>199</v>
      </c>
      <c r="AG48" s="1186" t="s">
        <v>200</v>
      </c>
      <c r="AH48" s="1186" t="str">
        <f>IF($E$48=0,"",$E$48)</f>
        <v>Плата за подключение (технологическое присоединение) к системе теплоснабжения</v>
      </c>
      <c r="AI48" s="1186" t="str">
        <f>IF($G$48=0,"",$G$48)</f>
        <v/>
      </c>
      <c r="AJ48" s="1186" t="str">
        <f>IF($J$48=0,"",$J$48)</f>
        <v/>
      </c>
      <c r="AK48" s="1186" t="str">
        <f>IF($K$48="нет","без дифференциации",IF($N$48=0,"",$N$48))</f>
        <v/>
      </c>
      <c r="AL48" s="1186" t="str">
        <f>IF($O$48="нет","без дифференциации",IF($R$48=0,"",$R$48))</f>
        <v/>
      </c>
      <c r="AM48" s="1186" t="str">
        <f>IF($S$48="нет","без дифференциации",IF($V$48=0,"",$V$48))</f>
        <v/>
      </c>
      <c r="AN48" s="1682">
        <f>$I$48</f>
        <v>0</v>
      </c>
      <c r="AO48" s="1186" t="str">
        <f>$I$48&amp;"."&amp;$M$48</f>
        <v>.</v>
      </c>
      <c r="AP48" s="1179" t="str">
        <f>$I$48&amp;"."&amp;$M$48&amp;"."&amp;$Q$48</f>
        <v>..</v>
      </c>
      <c r="AQ48" s="1179" t="str">
        <f>$I$48&amp;"."&amp;$M$48&amp;"."&amp;$Q$48&amp;"."&amp;$U$48</f>
        <v>...</v>
      </c>
    </row>
    <row r="49" spans="1:43" s="1854" customFormat="1" ht="17.25" hidden="1" customHeight="1">
      <c r="A49" s="244"/>
      <c r="C49" s="243"/>
      <c r="D49" s="2157"/>
      <c r="E49" s="2159"/>
      <c r="F49" s="2162"/>
      <c r="G49" s="2159"/>
      <c r="H49" s="2165"/>
      <c r="I49" s="2167"/>
      <c r="J49" s="2169"/>
      <c r="K49" s="2152"/>
      <c r="L49" s="2152"/>
      <c r="M49" s="2152"/>
      <c r="N49" s="2154"/>
      <c r="O49" s="2152"/>
      <c r="P49" s="2152"/>
      <c r="Q49" s="2152"/>
      <c r="R49" s="2155"/>
      <c r="S49" s="2152"/>
      <c r="T49" s="1216"/>
      <c r="U49" s="1216"/>
      <c r="V49" s="1216"/>
      <c r="W49" s="1217"/>
      <c r="X49" s="1179"/>
      <c r="Y49" s="1179"/>
      <c r="Z49" s="1179"/>
      <c r="AA49" s="1179"/>
      <c r="AB49" s="1179"/>
      <c r="AC49" s="1179"/>
      <c r="AD49" s="1179"/>
      <c r="AE49" s="1179"/>
      <c r="AF49" s="1179"/>
      <c r="AG49" s="1179"/>
      <c r="AH49" s="1179"/>
      <c r="AI49" s="1179"/>
      <c r="AJ49" s="1179"/>
      <c r="AK49" s="1179"/>
      <c r="AL49" s="1179"/>
      <c r="AM49" s="1179"/>
      <c r="AN49" s="1179"/>
      <c r="AO49" s="1179"/>
      <c r="AP49" s="1179"/>
      <c r="AQ49" s="1179"/>
    </row>
    <row r="50" spans="1:43" s="1854" customFormat="1" ht="17.25" hidden="1" customHeight="1">
      <c r="A50" s="244"/>
      <c r="C50" s="243"/>
      <c r="D50" s="2158"/>
      <c r="E50" s="2160"/>
      <c r="F50" s="2162"/>
      <c r="G50" s="2160"/>
      <c r="H50" s="2165"/>
      <c r="I50" s="2167"/>
      <c r="J50" s="2170"/>
      <c r="K50" s="2152"/>
      <c r="L50" s="2152"/>
      <c r="M50" s="2152"/>
      <c r="N50" s="2155"/>
      <c r="O50" s="2152"/>
      <c r="P50" s="1382"/>
      <c r="Q50" s="1216"/>
      <c r="R50" s="1216"/>
      <c r="S50" s="255"/>
      <c r="T50" s="255"/>
      <c r="U50" s="255"/>
      <c r="V50" s="255"/>
      <c r="W50" s="1217"/>
      <c r="X50" s="1179"/>
      <c r="Y50" s="1179"/>
      <c r="Z50" s="1179"/>
      <c r="AA50" s="1179"/>
      <c r="AB50" s="1179"/>
      <c r="AC50" s="1179"/>
      <c r="AD50" s="1179"/>
      <c r="AE50" s="1179"/>
      <c r="AF50" s="1179"/>
      <c r="AG50" s="1179"/>
      <c r="AH50" s="1179"/>
      <c r="AI50" s="1179"/>
      <c r="AJ50" s="1179"/>
      <c r="AK50" s="1179"/>
      <c r="AL50" s="1179"/>
      <c r="AM50" s="1179"/>
      <c r="AN50" s="1179"/>
      <c r="AO50" s="1179"/>
      <c r="AP50" s="1179"/>
      <c r="AQ50" s="1179"/>
    </row>
    <row r="51" spans="1:43" s="1853" customFormat="1" ht="17.25" hidden="1" customHeight="1">
      <c r="A51" s="244"/>
      <c r="C51" s="130"/>
      <c r="D51" s="2158"/>
      <c r="E51" s="2160"/>
      <c r="F51" s="2162"/>
      <c r="G51" s="2160"/>
      <c r="H51" s="2165"/>
      <c r="I51" s="2167"/>
      <c r="J51" s="2170"/>
      <c r="K51" s="2152"/>
      <c r="L51" s="1216"/>
      <c r="M51" s="1216"/>
      <c r="N51" s="1216"/>
      <c r="O51" s="1216"/>
      <c r="P51" s="1216"/>
      <c r="Q51" s="1216"/>
      <c r="R51" s="1216"/>
      <c r="S51" s="255"/>
      <c r="T51" s="255"/>
      <c r="U51" s="255"/>
      <c r="V51" s="255"/>
      <c r="W51" s="1217"/>
      <c r="Y51" s="1186"/>
      <c r="Z51" s="1186"/>
      <c r="AA51" s="1186"/>
      <c r="AB51" s="1186"/>
      <c r="AC51" s="1186"/>
      <c r="AD51" s="1186"/>
      <c r="AE51" s="1186"/>
      <c r="AF51" s="1186"/>
      <c r="AG51" s="1186"/>
      <c r="AH51" s="1186"/>
      <c r="AI51" s="1186"/>
      <c r="AJ51" s="1186"/>
      <c r="AK51" s="1186"/>
      <c r="AL51" s="1186"/>
      <c r="AM51" s="1186"/>
      <c r="AN51" s="1186"/>
      <c r="AO51" s="1186"/>
      <c r="AP51" s="1186"/>
      <c r="AQ51" s="1186"/>
    </row>
    <row r="52" spans="1:43" s="1854" customFormat="1" ht="17.25" hidden="1" customHeight="1">
      <c r="A52" s="244"/>
      <c r="C52" s="243"/>
      <c r="D52" s="2158"/>
      <c r="E52" s="2160"/>
      <c r="F52" s="2163"/>
      <c r="G52" s="2160"/>
      <c r="H52" s="1218"/>
      <c r="I52" s="1219"/>
      <c r="J52" s="1219"/>
      <c r="K52" s="1219"/>
      <c r="L52" s="1219"/>
      <c r="M52" s="1219"/>
      <c r="N52" s="1219"/>
      <c r="O52" s="1219"/>
      <c r="P52" s="1219"/>
      <c r="Q52" s="1219"/>
      <c r="R52" s="1219"/>
      <c r="S52" s="1220"/>
      <c r="T52" s="1220"/>
      <c r="U52" s="1220"/>
      <c r="V52" s="1220"/>
      <c r="W52" s="1221"/>
      <c r="X52" s="1179"/>
      <c r="Y52" s="1179"/>
      <c r="Z52" s="1179"/>
      <c r="AA52" s="1179"/>
      <c r="AB52" s="1179"/>
      <c r="AC52" s="1179"/>
      <c r="AD52" s="1179"/>
      <c r="AE52" s="1179"/>
      <c r="AF52" s="1179"/>
      <c r="AG52" s="1179"/>
      <c r="AH52" s="1179"/>
      <c r="AI52" s="1179"/>
      <c r="AJ52" s="1179"/>
      <c r="AK52" s="1179"/>
      <c r="AL52" s="1179"/>
      <c r="AM52" s="1179"/>
      <c r="AN52" s="1179"/>
      <c r="AO52" s="1179"/>
      <c r="AP52" s="1179"/>
      <c r="AQ52" s="1179"/>
    </row>
    <row r="53" spans="1:43" ht="11.25" hidden="1" customHeight="1"/>
    <row r="54" spans="1:43" ht="11.25" hidden="1" customHeight="1">
      <c r="E54" s="2190" t="s">
        <v>201</v>
      </c>
      <c r="F54" s="2190"/>
      <c r="G54" s="2190"/>
      <c r="H54" s="2190"/>
      <c r="I54" s="2190"/>
      <c r="J54" s="2190"/>
      <c r="K54" s="2190"/>
      <c r="L54" s="2190"/>
      <c r="M54" s="2190"/>
      <c r="N54" s="2190"/>
      <c r="O54" s="2190"/>
      <c r="P54" s="2190"/>
      <c r="Q54" s="2190"/>
      <c r="R54" s="2190"/>
      <c r="S54" s="2190"/>
      <c r="T54" s="2190"/>
      <c r="U54" s="2190"/>
      <c r="V54" s="2190"/>
      <c r="W54" s="2190"/>
    </row>
    <row r="55" spans="1:43" ht="36.75" hidden="1" customHeight="1">
      <c r="E55" s="2188" t="s">
        <v>202</v>
      </c>
      <c r="F55" s="2188"/>
      <c r="G55" s="2189"/>
      <c r="H55" s="2189"/>
      <c r="I55" s="2189"/>
      <c r="J55" s="2189"/>
      <c r="K55" s="2189"/>
      <c r="L55" s="2189"/>
      <c r="M55" s="2189"/>
      <c r="N55" s="2189"/>
      <c r="O55" s="2189"/>
      <c r="P55" s="2189"/>
      <c r="Q55" s="2189"/>
      <c r="R55" s="2189"/>
      <c r="S55" s="2189"/>
      <c r="T55" s="2189"/>
      <c r="U55" s="2189"/>
      <c r="V55" s="2189"/>
      <c r="W55" s="2189"/>
    </row>
    <row r="56" spans="1:43" ht="28.5" hidden="1" customHeight="1">
      <c r="E56" s="2188" t="s">
        <v>203</v>
      </c>
      <c r="F56" s="2188"/>
      <c r="G56" s="2189"/>
      <c r="H56" s="2189"/>
      <c r="I56" s="2189"/>
      <c r="J56" s="2189"/>
      <c r="K56" s="2189"/>
      <c r="L56" s="2189"/>
      <c r="M56" s="2189"/>
      <c r="N56" s="2189"/>
      <c r="O56" s="2189"/>
      <c r="P56" s="2189"/>
      <c r="Q56" s="2189"/>
      <c r="R56" s="2189"/>
      <c r="S56" s="2189"/>
      <c r="T56" s="2189"/>
      <c r="U56" s="2189"/>
      <c r="V56" s="2189"/>
      <c r="W56" s="2189"/>
    </row>
    <row r="57" spans="1:43" ht="27" hidden="1" customHeight="1">
      <c r="E57" s="2188" t="s">
        <v>204</v>
      </c>
      <c r="F57" s="2188"/>
      <c r="G57" s="2189"/>
      <c r="H57" s="2189"/>
      <c r="I57" s="2189"/>
      <c r="J57" s="2189"/>
      <c r="K57" s="2189"/>
      <c r="L57" s="2189"/>
      <c r="M57" s="2189"/>
      <c r="N57" s="2189"/>
      <c r="O57" s="2189"/>
      <c r="P57" s="2189"/>
      <c r="Q57" s="2189"/>
      <c r="R57" s="2189"/>
      <c r="S57" s="2189"/>
      <c r="T57" s="2189"/>
      <c r="U57" s="2189"/>
      <c r="V57" s="2189"/>
      <c r="W57" s="2189"/>
    </row>
    <row r="58" spans="1:43" ht="17.25" hidden="1" customHeight="1">
      <c r="E58" s="2188" t="s">
        <v>205</v>
      </c>
      <c r="F58" s="2188"/>
      <c r="G58" s="2189"/>
      <c r="H58" s="2189"/>
      <c r="I58" s="2189"/>
      <c r="J58" s="2189"/>
      <c r="K58" s="2189"/>
      <c r="L58" s="2189"/>
      <c r="M58" s="2189"/>
      <c r="N58" s="2189"/>
      <c r="O58" s="2189"/>
      <c r="P58" s="2189"/>
      <c r="Q58" s="2189"/>
      <c r="R58" s="2189"/>
      <c r="S58" s="2189"/>
      <c r="T58" s="2189"/>
      <c r="U58" s="2189"/>
      <c r="V58" s="2189"/>
      <c r="W58" s="2189"/>
    </row>
    <row r="59" spans="1:43" ht="15" hidden="1" customHeight="1">
      <c r="E59" s="266"/>
      <c r="F59" s="1204"/>
      <c r="G59" s="79"/>
      <c r="H59" s="79"/>
      <c r="I59" s="79"/>
      <c r="J59" s="79"/>
      <c r="K59" s="79"/>
      <c r="L59" s="79"/>
      <c r="M59" s="79"/>
      <c r="N59" s="79"/>
      <c r="O59" s="79"/>
      <c r="P59" s="79"/>
      <c r="Q59" s="79"/>
      <c r="R59" s="79"/>
      <c r="S59" s="79"/>
      <c r="T59" s="79"/>
      <c r="U59" s="79"/>
      <c r="V59" s="79"/>
      <c r="W59" s="79"/>
    </row>
    <row r="60" spans="1:43" ht="15" hidden="1" customHeight="1">
      <c r="E60" s="2190" t="s">
        <v>206</v>
      </c>
      <c r="F60" s="2190"/>
      <c r="G60" s="2190"/>
      <c r="H60" s="2190"/>
      <c r="I60" s="2190"/>
      <c r="J60" s="2190"/>
      <c r="K60" s="2190"/>
      <c r="L60" s="2190"/>
      <c r="M60" s="2190"/>
      <c r="N60" s="2190"/>
      <c r="O60" s="2190"/>
      <c r="P60" s="2190"/>
      <c r="Q60" s="2190"/>
      <c r="R60" s="2190"/>
      <c r="S60" s="2190"/>
      <c r="T60" s="2190"/>
      <c r="U60" s="2190"/>
      <c r="V60" s="2190"/>
      <c r="W60" s="2190"/>
    </row>
    <row r="61" spans="1:43" ht="17.25" hidden="1" customHeight="1">
      <c r="E61" s="2188" t="s">
        <v>207</v>
      </c>
      <c r="F61" s="2188"/>
      <c r="G61" s="2189"/>
      <c r="H61" s="2189"/>
      <c r="I61" s="2189"/>
      <c r="J61" s="2189"/>
      <c r="K61" s="2189"/>
      <c r="L61" s="2189"/>
      <c r="M61" s="2189"/>
      <c r="N61" s="2189"/>
      <c r="O61" s="2189"/>
      <c r="P61" s="2189"/>
      <c r="Q61" s="2189"/>
      <c r="R61" s="2189"/>
      <c r="S61" s="2189"/>
      <c r="T61" s="2189"/>
      <c r="U61" s="2189"/>
      <c r="V61" s="2189"/>
      <c r="W61" s="2189"/>
    </row>
    <row r="62" spans="1:43" ht="17.25" hidden="1" customHeight="1">
      <c r="E62" s="2188" t="s">
        <v>208</v>
      </c>
      <c r="F62" s="2188"/>
      <c r="G62" s="2189"/>
      <c r="H62" s="2189"/>
      <c r="I62" s="2189"/>
      <c r="J62" s="2189"/>
      <c r="K62" s="2189"/>
      <c r="L62" s="2189"/>
      <c r="M62" s="2189"/>
      <c r="N62" s="2189"/>
      <c r="O62" s="2189"/>
      <c r="P62" s="2189"/>
      <c r="Q62" s="2189"/>
      <c r="R62" s="2189"/>
      <c r="S62" s="2189"/>
      <c r="T62" s="2189"/>
      <c r="U62" s="2189"/>
      <c r="V62" s="2189"/>
      <c r="W62" s="2189"/>
    </row>
    <row r="63" spans="1:43" s="1855" customFormat="1" ht="11.25" hidden="1" customHeight="1">
      <c r="A63" s="194"/>
      <c r="B63" s="194"/>
      <c r="Y63" s="1179"/>
      <c r="Z63" s="1179"/>
      <c r="AA63" s="1179"/>
      <c r="AB63" s="1179"/>
      <c r="AC63" s="1179"/>
      <c r="AD63" s="1179"/>
      <c r="AE63" s="1179"/>
      <c r="AF63" s="1179"/>
      <c r="AG63" s="1179"/>
      <c r="AH63" s="1179"/>
      <c r="AI63" s="1179"/>
      <c r="AJ63" s="1179"/>
      <c r="AK63" s="1179"/>
      <c r="AL63" s="1179"/>
      <c r="AM63" s="1179"/>
      <c r="AN63" s="1179"/>
      <c r="AO63" s="1179"/>
      <c r="AP63" s="1179"/>
      <c r="AQ63" s="1179"/>
    </row>
    <row r="64" spans="1:43" s="1855" customFormat="1" ht="17.25" customHeight="1">
      <c r="A64" s="244"/>
      <c r="C64" s="130"/>
      <c r="D64" s="2157">
        <v>1</v>
      </c>
      <c r="E64" s="2159" t="s">
        <v>209</v>
      </c>
      <c r="F64" s="2161" t="s">
        <v>61</v>
      </c>
      <c r="G64" s="2173" t="str">
        <f>INDEX(COLDVSNA_PT_VED_NAME,MATCH(4189671,COLDVSNA_PT_VED_ID,0))</f>
        <v>Холодное водоснабжение. Питьевая вода</v>
      </c>
      <c r="H64" s="2193"/>
      <c r="I64" s="2193">
        <v>1</v>
      </c>
      <c r="J64" s="2192"/>
      <c r="K64" s="2195" t="s">
        <v>56</v>
      </c>
      <c r="L64" s="2125"/>
      <c r="M64" s="2125" t="s">
        <v>108</v>
      </c>
      <c r="N64" s="2197" t="s">
        <v>24</v>
      </c>
      <c r="O64" s="2195" t="s">
        <v>56</v>
      </c>
      <c r="P64" s="2125"/>
      <c r="Q64" s="2125" t="s">
        <v>108</v>
      </c>
      <c r="R64" s="2198" t="s">
        <v>24</v>
      </c>
      <c r="S64" s="2191" t="s">
        <v>56</v>
      </c>
      <c r="T64" s="1856"/>
      <c r="U64" s="1856" t="s">
        <v>108</v>
      </c>
      <c r="V64" s="1857"/>
      <c r="W64" s="2192"/>
      <c r="Y64" s="1186"/>
      <c r="Z64" s="1186"/>
      <c r="AA64" s="1186"/>
      <c r="AB64" s="1186" t="s">
        <v>210</v>
      </c>
      <c r="AC64" s="1186" t="s">
        <v>211</v>
      </c>
      <c r="AD64" s="1186" t="s">
        <v>212</v>
      </c>
      <c r="AE64" s="1186" t="s">
        <v>213</v>
      </c>
      <c r="AF64" s="1186" t="s">
        <v>214</v>
      </c>
      <c r="AG64" s="1186"/>
      <c r="AH64" s="1186" t="str">
        <f>IF($E$64=0,"",$E$64)</f>
        <v>Тариф на питьевую воду (питьевое водоснабжение)</v>
      </c>
      <c r="AI64" s="1186" t="str">
        <f>IF($G$64=0,"",$G$64)</f>
        <v>Холодное водоснабжение. Питьевая вода</v>
      </c>
      <c r="AJ64" s="1186" t="str">
        <f>IF($J$64=0,"",$J$64)</f>
        <v/>
      </c>
      <c r="AK64" s="1186" t="str">
        <f>IF($K$64="нет","без дифференциации",IF($N$64=0,"",$N$64))</f>
        <v>без дифференциации</v>
      </c>
      <c r="AL64" s="1186" t="str">
        <f>IF($O$64="нет","без дифференциации",IF($R$64=0,"",$R$64))</f>
        <v>без дифференциации</v>
      </c>
      <c r="AM64" s="1186" t="str">
        <f>IF($S$64="нет","без дифференциации",IF($V$64=0,"",$V$64))</f>
        <v>без дифференциации</v>
      </c>
      <c r="AN64" s="1186">
        <f>$I$64</f>
        <v>1</v>
      </c>
      <c r="AO64" s="1186" t="str">
        <f>$I$64&amp;"."&amp;$M$64</f>
        <v>1.1</v>
      </c>
      <c r="AP64" s="1186" t="str">
        <f>$I$64&amp;"."&amp;$M$64&amp;"."&amp;$Q$64</f>
        <v>1.1.1</v>
      </c>
      <c r="AQ64" s="1186" t="str">
        <f>$I$64&amp;"."&amp;$M$64&amp;"."&amp;$Q$64&amp;"."&amp;$U$64</f>
        <v>1.1.1.1</v>
      </c>
    </row>
    <row r="65" spans="1:43" s="1855" customFormat="1" ht="17.25" customHeight="1">
      <c r="A65" s="244"/>
      <c r="C65" s="243"/>
      <c r="D65" s="2157"/>
      <c r="E65" s="2159"/>
      <c r="F65" s="2162"/>
      <c r="G65" s="2173"/>
      <c r="H65" s="2193"/>
      <c r="I65" s="2193"/>
      <c r="J65" s="2192"/>
      <c r="K65" s="2196"/>
      <c r="L65" s="2125"/>
      <c r="M65" s="2125"/>
      <c r="N65" s="2197" t="s">
        <v>24</v>
      </c>
      <c r="O65" s="2196"/>
      <c r="P65" s="2125"/>
      <c r="Q65" s="2125"/>
      <c r="R65" s="2198" t="s">
        <v>24</v>
      </c>
      <c r="S65" s="2191"/>
      <c r="T65" s="1858"/>
      <c r="U65" s="1859"/>
      <c r="V65" s="1859"/>
      <c r="W65" s="2192"/>
      <c r="Y65" s="1179"/>
      <c r="Z65" s="1179"/>
      <c r="AA65" s="1179"/>
      <c r="AB65" s="1179"/>
      <c r="AC65" s="1179"/>
      <c r="AD65" s="1179"/>
      <c r="AE65" s="1179"/>
      <c r="AF65" s="1179"/>
      <c r="AG65" s="1179"/>
      <c r="AH65" s="1179"/>
      <c r="AI65" s="1179"/>
      <c r="AJ65" s="1179"/>
      <c r="AK65" s="1179"/>
      <c r="AL65" s="1179"/>
      <c r="AM65" s="1179"/>
      <c r="AN65" s="1179"/>
      <c r="AO65" s="1179"/>
      <c r="AP65" s="1179"/>
      <c r="AQ65" s="1179"/>
    </row>
    <row r="66" spans="1:43" s="1860" customFormat="1" ht="17.25" customHeight="1">
      <c r="A66" s="244"/>
      <c r="C66" s="130"/>
      <c r="D66" s="2157"/>
      <c r="E66" s="2159"/>
      <c r="F66" s="2162"/>
      <c r="G66" s="2173"/>
      <c r="H66" s="2158"/>
      <c r="I66" s="2158"/>
      <c r="J66" s="2194"/>
      <c r="K66" s="2196"/>
      <c r="L66" s="2158"/>
      <c r="M66" s="2158"/>
      <c r="N66" s="2198" t="s">
        <v>24</v>
      </c>
      <c r="O66" s="2129"/>
      <c r="P66" s="1861"/>
      <c r="Q66" s="1862"/>
      <c r="R66" s="1863" t="s">
        <v>215</v>
      </c>
      <c r="S66" s="1864"/>
      <c r="T66" s="1865"/>
      <c r="U66" s="1866"/>
      <c r="V66" s="1867"/>
      <c r="W66" s="1868"/>
      <c r="Y66" s="1186"/>
      <c r="Z66" s="1186"/>
      <c r="AA66" s="1186"/>
      <c r="AB66" s="1186"/>
      <c r="AC66" s="1186"/>
      <c r="AD66" s="1186"/>
      <c r="AE66" s="1186"/>
      <c r="AF66" s="1186"/>
      <c r="AG66" s="1186"/>
      <c r="AH66" s="1186"/>
      <c r="AI66" s="1186"/>
      <c r="AJ66" s="1186"/>
      <c r="AK66" s="1186"/>
      <c r="AL66" s="1186"/>
      <c r="AM66" s="1186"/>
      <c r="AN66" s="1186"/>
      <c r="AO66" s="1186"/>
      <c r="AP66" s="1186"/>
      <c r="AQ66" s="1186"/>
    </row>
    <row r="67" spans="1:43" s="1860" customFormat="1" ht="17.25" customHeight="1">
      <c r="A67" s="244"/>
      <c r="C67" s="243"/>
      <c r="D67" s="2157"/>
      <c r="E67" s="2159"/>
      <c r="F67" s="2162"/>
      <c r="G67" s="2173"/>
      <c r="H67" s="2158"/>
      <c r="I67" s="2158"/>
      <c r="J67" s="2194"/>
      <c r="K67" s="2129"/>
      <c r="L67" s="1869"/>
      <c r="M67" s="1870"/>
      <c r="N67" s="1871" t="s">
        <v>216</v>
      </c>
      <c r="O67" s="1872"/>
      <c r="P67" s="1873"/>
      <c r="Q67" s="1874"/>
      <c r="R67" s="1875"/>
      <c r="S67" s="1876"/>
      <c r="T67" s="1877"/>
      <c r="U67" s="1878"/>
      <c r="V67" s="1879"/>
      <c r="W67" s="1880"/>
      <c r="Y67" s="1179"/>
      <c r="Z67" s="1179"/>
      <c r="AA67" s="1179"/>
      <c r="AB67" s="1179"/>
      <c r="AC67" s="1179"/>
      <c r="AD67" s="1179"/>
      <c r="AE67" s="1179"/>
      <c r="AF67" s="1179"/>
      <c r="AG67" s="1179"/>
      <c r="AH67" s="1179"/>
      <c r="AI67" s="1179"/>
      <c r="AJ67" s="1179"/>
      <c r="AK67" s="1179"/>
      <c r="AL67" s="1179"/>
      <c r="AM67" s="1179"/>
      <c r="AN67" s="1179"/>
      <c r="AO67" s="1179"/>
      <c r="AP67" s="1179"/>
      <c r="AQ67" s="1179"/>
    </row>
    <row r="68" spans="1:43" s="1855" customFormat="1" ht="17.25" customHeight="1">
      <c r="A68" s="244"/>
      <c r="C68" s="243"/>
      <c r="D68" s="2158"/>
      <c r="E68" s="2160"/>
      <c r="F68" s="2163"/>
      <c r="G68" s="2174"/>
      <c r="H68" s="1881"/>
      <c r="I68" s="1882"/>
      <c r="J68" s="1883" t="s">
        <v>217</v>
      </c>
      <c r="K68" s="1884"/>
      <c r="L68" s="1885"/>
      <c r="M68" s="1886"/>
      <c r="N68" s="1887"/>
      <c r="O68" s="1888"/>
      <c r="P68" s="1889"/>
      <c r="Q68" s="1890"/>
      <c r="R68" s="1891"/>
      <c r="S68" s="1892"/>
      <c r="T68" s="1893"/>
      <c r="U68" s="1894"/>
      <c r="V68" s="1895"/>
      <c r="W68" s="1896"/>
      <c r="Y68" s="1179"/>
      <c r="Z68" s="1179"/>
      <c r="AA68" s="1179"/>
      <c r="AB68" s="1179"/>
      <c r="AC68" s="1179"/>
      <c r="AD68" s="1179"/>
      <c r="AE68" s="1179"/>
      <c r="AF68" s="1179"/>
      <c r="AG68" s="1179"/>
      <c r="AH68" s="1179"/>
      <c r="AI68" s="1179"/>
      <c r="AJ68" s="1179"/>
      <c r="AK68" s="1179"/>
      <c r="AL68" s="1179"/>
      <c r="AM68" s="1179"/>
      <c r="AN68" s="1179"/>
      <c r="AO68" s="1179"/>
      <c r="AP68" s="1179"/>
      <c r="AQ68" s="1179"/>
    </row>
    <row r="69" spans="1:43" s="1855" customFormat="1" ht="17.25" customHeight="1">
      <c r="A69" s="244"/>
      <c r="C69" s="130"/>
      <c r="D69" s="2157">
        <v>2</v>
      </c>
      <c r="E69" s="2159" t="s">
        <v>218</v>
      </c>
      <c r="F69" s="2161" t="s">
        <v>56</v>
      </c>
      <c r="G69" s="2159"/>
      <c r="H69" s="2164"/>
      <c r="I69" s="2166"/>
      <c r="J69" s="2168"/>
      <c r="K69" s="2151"/>
      <c r="L69" s="2151"/>
      <c r="M69" s="2151"/>
      <c r="N69" s="2153"/>
      <c r="O69" s="2151"/>
      <c r="P69" s="2151"/>
      <c r="Q69" s="2151"/>
      <c r="R69" s="2156"/>
      <c r="S69" s="2151"/>
      <c r="T69" s="1357"/>
      <c r="U69" s="1357"/>
      <c r="V69" s="1359"/>
      <c r="W69" s="1215"/>
      <c r="X69" s="1186"/>
      <c r="Y69" s="1186"/>
      <c r="Z69" s="1186"/>
      <c r="AA69" s="1186"/>
      <c r="AB69" s="1186"/>
      <c r="AC69" s="1186" t="s">
        <v>219</v>
      </c>
      <c r="AD69" s="1186" t="s">
        <v>220</v>
      </c>
      <c r="AE69" s="1186" t="s">
        <v>221</v>
      </c>
      <c r="AF69" s="1186" t="s">
        <v>222</v>
      </c>
      <c r="AG69" s="1186"/>
      <c r="AH69" s="1186" t="str">
        <f>IF($E$69=0,"",$E$69)</f>
        <v>Тариф на техническую воду</v>
      </c>
      <c r="AI69" s="1186" t="str">
        <f>IF($G$69=0,"",$G$69)</f>
        <v/>
      </c>
      <c r="AJ69" s="1186" t="str">
        <f>IF($J$69=0,"",$J$69)</f>
        <v/>
      </c>
      <c r="AK69" s="1186" t="str">
        <f>IF($K$69="нет","без дифференциации",IF($N$69=0,"",$N$69))</f>
        <v/>
      </c>
      <c r="AL69" s="1186" t="str">
        <f>IF($O$69="нет","без дифференциации",IF($R$69=0,"",$R$69))</f>
        <v/>
      </c>
      <c r="AM69" s="1186" t="str">
        <f>IF($S$69="нет","без дифференциации",IF($V$69=0,"",$V$69))</f>
        <v/>
      </c>
      <c r="AN69" s="1682">
        <f>$I$69</f>
        <v>0</v>
      </c>
      <c r="AO69" s="1186" t="str">
        <f>$I$69&amp;"."&amp;$M$69</f>
        <v>.</v>
      </c>
      <c r="AP69" s="1179" t="str">
        <f>$I$69&amp;"."&amp;$M$69&amp;"."&amp;$Q$69</f>
        <v>..</v>
      </c>
      <c r="AQ69" s="1179" t="str">
        <f>$I$69&amp;"."&amp;$M$69&amp;"."&amp;$Q$69&amp;"."&amp;$U$69</f>
        <v>...</v>
      </c>
    </row>
    <row r="70" spans="1:43" s="1855" customFormat="1" ht="17.25" customHeight="1">
      <c r="A70" s="244"/>
      <c r="C70" s="243"/>
      <c r="D70" s="2157"/>
      <c r="E70" s="2159"/>
      <c r="F70" s="2162"/>
      <c r="G70" s="2159"/>
      <c r="H70" s="2165"/>
      <c r="I70" s="2167"/>
      <c r="J70" s="2169"/>
      <c r="K70" s="2152"/>
      <c r="L70" s="2152"/>
      <c r="M70" s="2152"/>
      <c r="N70" s="2154"/>
      <c r="O70" s="2152"/>
      <c r="P70" s="2152"/>
      <c r="Q70" s="2152"/>
      <c r="R70" s="2155"/>
      <c r="S70" s="2152"/>
      <c r="T70" s="1216"/>
      <c r="U70" s="1216"/>
      <c r="V70" s="1216"/>
      <c r="W70" s="1217"/>
      <c r="X70" s="1179"/>
      <c r="Y70" s="1179"/>
      <c r="Z70" s="1179"/>
      <c r="AA70" s="1179"/>
      <c r="AB70" s="1179"/>
      <c r="AC70" s="1179"/>
      <c r="AD70" s="1179"/>
      <c r="AE70" s="1179"/>
      <c r="AF70" s="1179"/>
      <c r="AG70" s="1179"/>
      <c r="AH70" s="1179"/>
      <c r="AI70" s="1179"/>
      <c r="AJ70" s="1179"/>
      <c r="AK70" s="1179"/>
      <c r="AL70" s="1179"/>
      <c r="AM70" s="1179"/>
      <c r="AN70" s="1179"/>
      <c r="AO70" s="1179"/>
      <c r="AP70" s="1179"/>
      <c r="AQ70" s="1179"/>
    </row>
    <row r="71" spans="1:43" s="1855" customFormat="1" ht="17.25" customHeight="1">
      <c r="A71" s="244"/>
      <c r="C71" s="243"/>
      <c r="D71" s="2158"/>
      <c r="E71" s="2160"/>
      <c r="F71" s="2162"/>
      <c r="G71" s="2160"/>
      <c r="H71" s="2165"/>
      <c r="I71" s="2167"/>
      <c r="J71" s="2170"/>
      <c r="K71" s="2152"/>
      <c r="L71" s="2152"/>
      <c r="M71" s="2152"/>
      <c r="N71" s="2155"/>
      <c r="O71" s="2152"/>
      <c r="P71" s="1358"/>
      <c r="Q71" s="1216"/>
      <c r="R71" s="1216"/>
      <c r="S71" s="255"/>
      <c r="T71" s="255"/>
      <c r="U71" s="255"/>
      <c r="V71" s="255"/>
      <c r="W71" s="1217"/>
      <c r="X71" s="1179"/>
      <c r="Y71" s="1179"/>
      <c r="Z71" s="1179"/>
      <c r="AA71" s="1179"/>
      <c r="AB71" s="1179"/>
      <c r="AC71" s="1179"/>
      <c r="AD71" s="1179"/>
      <c r="AE71" s="1179"/>
      <c r="AF71" s="1179"/>
      <c r="AG71" s="1179"/>
      <c r="AH71" s="1179"/>
      <c r="AI71" s="1179"/>
      <c r="AJ71" s="1179"/>
      <c r="AK71" s="1179"/>
      <c r="AL71" s="1179"/>
      <c r="AM71" s="1179"/>
      <c r="AN71" s="1179"/>
      <c r="AO71" s="1179"/>
      <c r="AP71" s="1179"/>
      <c r="AQ71" s="1179"/>
    </row>
    <row r="72" spans="1:43" s="1855" customFormat="1" ht="17.25" customHeight="1">
      <c r="A72" s="244"/>
      <c r="C72" s="243"/>
      <c r="D72" s="2158"/>
      <c r="E72" s="2160"/>
      <c r="F72" s="2162"/>
      <c r="G72" s="2160"/>
      <c r="H72" s="2165"/>
      <c r="I72" s="2167"/>
      <c r="J72" s="2170"/>
      <c r="K72" s="2152"/>
      <c r="L72" s="1216"/>
      <c r="M72" s="1216"/>
      <c r="N72" s="1216"/>
      <c r="O72" s="1216"/>
      <c r="P72" s="1216"/>
      <c r="Q72" s="1216"/>
      <c r="R72" s="1216"/>
      <c r="S72" s="255"/>
      <c r="T72" s="255"/>
      <c r="U72" s="255"/>
      <c r="V72" s="255"/>
      <c r="W72" s="1217"/>
      <c r="X72" s="1179"/>
      <c r="Y72" s="1179"/>
      <c r="Z72" s="1179"/>
      <c r="AA72" s="1179"/>
      <c r="AB72" s="1179"/>
      <c r="AC72" s="1179"/>
      <c r="AD72" s="1179"/>
      <c r="AE72" s="1179"/>
      <c r="AF72" s="1179"/>
      <c r="AG72" s="1179"/>
      <c r="AH72" s="1179"/>
      <c r="AI72" s="1179"/>
      <c r="AJ72" s="1179"/>
      <c r="AK72" s="1179"/>
      <c r="AL72" s="1179"/>
      <c r="AM72" s="1179"/>
      <c r="AN72" s="1179"/>
      <c r="AO72" s="1179"/>
      <c r="AP72" s="1179"/>
      <c r="AQ72" s="1179"/>
    </row>
    <row r="73" spans="1:43" s="1855" customFormat="1" ht="17.25" customHeight="1">
      <c r="A73" s="244"/>
      <c r="C73" s="243"/>
      <c r="D73" s="2158"/>
      <c r="E73" s="2160"/>
      <c r="F73" s="2163"/>
      <c r="G73" s="2160"/>
      <c r="H73" s="1218"/>
      <c r="I73" s="1219"/>
      <c r="J73" s="1219"/>
      <c r="K73" s="1219"/>
      <c r="L73" s="1219"/>
      <c r="M73" s="1219"/>
      <c r="N73" s="1219"/>
      <c r="O73" s="1219"/>
      <c r="P73" s="1219"/>
      <c r="Q73" s="1219"/>
      <c r="R73" s="1219"/>
      <c r="S73" s="1220"/>
      <c r="T73" s="1220"/>
      <c r="U73" s="1220"/>
      <c r="V73" s="1220"/>
      <c r="W73" s="1221"/>
      <c r="X73" s="1179"/>
      <c r="Y73" s="1179"/>
      <c r="Z73" s="1179"/>
      <c r="AA73" s="1179"/>
      <c r="AB73" s="1179"/>
      <c r="AC73" s="1179"/>
      <c r="AD73" s="1179"/>
      <c r="AE73" s="1179"/>
      <c r="AF73" s="1179"/>
      <c r="AG73" s="1179"/>
      <c r="AH73" s="1179"/>
      <c r="AI73" s="1179"/>
      <c r="AJ73" s="1179"/>
      <c r="AK73" s="1179"/>
      <c r="AL73" s="1179"/>
      <c r="AM73" s="1179"/>
      <c r="AN73" s="1179"/>
      <c r="AO73" s="1179"/>
      <c r="AP73" s="1179"/>
      <c r="AQ73" s="1179"/>
    </row>
    <row r="74" spans="1:43" s="1855" customFormat="1" ht="17.25" customHeight="1">
      <c r="A74" s="244"/>
      <c r="C74" s="130"/>
      <c r="D74" s="2157">
        <v>3</v>
      </c>
      <c r="E74" s="2159" t="s">
        <v>223</v>
      </c>
      <c r="F74" s="2161" t="s">
        <v>56</v>
      </c>
      <c r="G74" s="2159"/>
      <c r="H74" s="2164"/>
      <c r="I74" s="2166"/>
      <c r="J74" s="2168"/>
      <c r="K74" s="2151"/>
      <c r="L74" s="2151"/>
      <c r="M74" s="2151"/>
      <c r="N74" s="2153"/>
      <c r="O74" s="2151"/>
      <c r="P74" s="2151"/>
      <c r="Q74" s="2151"/>
      <c r="R74" s="2156"/>
      <c r="S74" s="2151"/>
      <c r="T74" s="1357"/>
      <c r="U74" s="1357"/>
      <c r="V74" s="1359"/>
      <c r="W74" s="1215"/>
      <c r="X74" s="1186"/>
      <c r="Y74" s="1186"/>
      <c r="Z74" s="1186"/>
      <c r="AA74" s="1186"/>
      <c r="AB74" s="1186"/>
      <c r="AC74" s="1186" t="s">
        <v>224</v>
      </c>
      <c r="AD74" s="1186" t="s">
        <v>225</v>
      </c>
      <c r="AE74" s="1186" t="s">
        <v>226</v>
      </c>
      <c r="AF74" s="1186" t="s">
        <v>227</v>
      </c>
      <c r="AG74" s="1186"/>
      <c r="AH74" s="1186" t="str">
        <f>IF($E$74=0,"",$E$74)</f>
        <v>Тариф на транспортировку воды</v>
      </c>
      <c r="AI74" s="1186" t="str">
        <f>IF($G$74=0,"",$G$74)</f>
        <v/>
      </c>
      <c r="AJ74" s="1186" t="str">
        <f>IF($J$74=0,"",$J$74)</f>
        <v/>
      </c>
      <c r="AK74" s="1186" t="str">
        <f>IF($K$74="нет","без дифференциации",IF($N$74=0,"",$N$74))</f>
        <v/>
      </c>
      <c r="AL74" s="1186" t="str">
        <f>IF($O$74="нет","без дифференциации",IF($R$74=0,"",$R$74))</f>
        <v/>
      </c>
      <c r="AM74" s="1186" t="str">
        <f>IF($S$74="нет","без дифференциации",IF($V$74=0,"",$V$74))</f>
        <v/>
      </c>
      <c r="AN74" s="1682">
        <f>$I$74</f>
        <v>0</v>
      </c>
      <c r="AO74" s="1186" t="str">
        <f>$I$74&amp;"."&amp;$M$74</f>
        <v>.</v>
      </c>
      <c r="AP74" s="1179" t="str">
        <f>$I$74&amp;"."&amp;$M$74&amp;"."&amp;$Q$74</f>
        <v>..</v>
      </c>
      <c r="AQ74" s="1179" t="str">
        <f>$I$74&amp;"."&amp;$M$74&amp;"."&amp;$Q$74&amp;"."&amp;$U$74</f>
        <v>...</v>
      </c>
    </row>
    <row r="75" spans="1:43" s="1855" customFormat="1" ht="17.25" customHeight="1">
      <c r="A75" s="244"/>
      <c r="C75" s="243"/>
      <c r="D75" s="2157"/>
      <c r="E75" s="2159"/>
      <c r="F75" s="2162"/>
      <c r="G75" s="2159"/>
      <c r="H75" s="2165"/>
      <c r="I75" s="2167"/>
      <c r="J75" s="2169"/>
      <c r="K75" s="2152"/>
      <c r="L75" s="2152"/>
      <c r="M75" s="2152"/>
      <c r="N75" s="2154"/>
      <c r="O75" s="2152"/>
      <c r="P75" s="2152"/>
      <c r="Q75" s="2152"/>
      <c r="R75" s="2155"/>
      <c r="S75" s="2152"/>
      <c r="T75" s="1216"/>
      <c r="U75" s="1216"/>
      <c r="V75" s="1216"/>
      <c r="W75" s="1217"/>
      <c r="X75" s="1179"/>
      <c r="Y75" s="1179"/>
      <c r="Z75" s="1179"/>
      <c r="AA75" s="1179"/>
      <c r="AB75" s="1179"/>
      <c r="AC75" s="1179"/>
      <c r="AD75" s="1179"/>
      <c r="AE75" s="1179"/>
      <c r="AF75" s="1179"/>
      <c r="AG75" s="1179"/>
      <c r="AH75" s="1179"/>
      <c r="AI75" s="1179"/>
      <c r="AJ75" s="1179"/>
      <c r="AK75" s="1179"/>
      <c r="AL75" s="1179"/>
      <c r="AM75" s="1179"/>
      <c r="AN75" s="1179"/>
      <c r="AO75" s="1179"/>
      <c r="AP75" s="1179"/>
      <c r="AQ75" s="1179"/>
    </row>
    <row r="76" spans="1:43" s="1855" customFormat="1" ht="17.25" customHeight="1">
      <c r="A76" s="244"/>
      <c r="C76" s="243"/>
      <c r="D76" s="2158"/>
      <c r="E76" s="2160"/>
      <c r="F76" s="2162"/>
      <c r="G76" s="2160"/>
      <c r="H76" s="2165"/>
      <c r="I76" s="2167"/>
      <c r="J76" s="2170"/>
      <c r="K76" s="2152"/>
      <c r="L76" s="2152"/>
      <c r="M76" s="2152"/>
      <c r="N76" s="2155"/>
      <c r="O76" s="2152"/>
      <c r="P76" s="1358"/>
      <c r="Q76" s="1216"/>
      <c r="R76" s="1216"/>
      <c r="S76" s="255"/>
      <c r="T76" s="255"/>
      <c r="U76" s="255"/>
      <c r="V76" s="255"/>
      <c r="W76" s="1217"/>
      <c r="X76" s="1179"/>
      <c r="Y76" s="1179"/>
      <c r="Z76" s="1179"/>
      <c r="AA76" s="1179"/>
      <c r="AB76" s="1179"/>
      <c r="AC76" s="1179"/>
      <c r="AD76" s="1179"/>
      <c r="AE76" s="1179"/>
      <c r="AF76" s="1179"/>
      <c r="AG76" s="1179"/>
      <c r="AH76" s="1179"/>
      <c r="AI76" s="1179"/>
      <c r="AJ76" s="1179"/>
      <c r="AK76" s="1179"/>
      <c r="AL76" s="1179"/>
      <c r="AM76" s="1179"/>
      <c r="AN76" s="1179"/>
      <c r="AO76" s="1179"/>
      <c r="AP76" s="1179"/>
      <c r="AQ76" s="1179"/>
    </row>
    <row r="77" spans="1:43" s="1855" customFormat="1" ht="17.25" customHeight="1">
      <c r="A77" s="244"/>
      <c r="C77" s="243"/>
      <c r="D77" s="2158"/>
      <c r="E77" s="2160"/>
      <c r="F77" s="2162"/>
      <c r="G77" s="2160"/>
      <c r="H77" s="2165"/>
      <c r="I77" s="2167"/>
      <c r="J77" s="2170"/>
      <c r="K77" s="2152"/>
      <c r="L77" s="1216"/>
      <c r="M77" s="1216"/>
      <c r="N77" s="1216"/>
      <c r="O77" s="1216"/>
      <c r="P77" s="1216"/>
      <c r="Q77" s="1216"/>
      <c r="R77" s="1216"/>
      <c r="S77" s="255"/>
      <c r="T77" s="255"/>
      <c r="U77" s="255"/>
      <c r="V77" s="255"/>
      <c r="W77" s="1217"/>
      <c r="X77" s="1179"/>
      <c r="Y77" s="1179"/>
      <c r="Z77" s="1179"/>
      <c r="AA77" s="1179"/>
      <c r="AB77" s="1179"/>
      <c r="AC77" s="1179"/>
      <c r="AD77" s="1179"/>
      <c r="AE77" s="1179"/>
      <c r="AF77" s="1179"/>
      <c r="AG77" s="1179"/>
      <c r="AH77" s="1179"/>
      <c r="AI77" s="1179"/>
      <c r="AJ77" s="1179"/>
      <c r="AK77" s="1179"/>
      <c r="AL77" s="1179"/>
      <c r="AM77" s="1179"/>
      <c r="AN77" s="1179"/>
      <c r="AO77" s="1179"/>
      <c r="AP77" s="1179"/>
      <c r="AQ77" s="1179"/>
    </row>
    <row r="78" spans="1:43" s="1855" customFormat="1" ht="17.25" customHeight="1">
      <c r="A78" s="244"/>
      <c r="C78" s="243"/>
      <c r="D78" s="2158"/>
      <c r="E78" s="2160"/>
      <c r="F78" s="2163"/>
      <c r="G78" s="2160"/>
      <c r="H78" s="1218"/>
      <c r="I78" s="1219"/>
      <c r="J78" s="1219"/>
      <c r="K78" s="1219"/>
      <c r="L78" s="1219"/>
      <c r="M78" s="1219"/>
      <c r="N78" s="1219"/>
      <c r="O78" s="1219"/>
      <c r="P78" s="1219"/>
      <c r="Q78" s="1219"/>
      <c r="R78" s="1219"/>
      <c r="S78" s="1220"/>
      <c r="T78" s="1220"/>
      <c r="U78" s="1220"/>
      <c r="V78" s="1220"/>
      <c r="W78" s="1221"/>
      <c r="X78" s="1179"/>
      <c r="Y78" s="1179"/>
      <c r="Z78" s="1179"/>
      <c r="AA78" s="1179"/>
      <c r="AB78" s="1179"/>
      <c r="AC78" s="1179"/>
      <c r="AD78" s="1179"/>
      <c r="AE78" s="1179"/>
      <c r="AF78" s="1179"/>
      <c r="AG78" s="1179"/>
      <c r="AH78" s="1179"/>
      <c r="AI78" s="1179"/>
      <c r="AJ78" s="1179"/>
      <c r="AK78" s="1179"/>
      <c r="AL78" s="1179"/>
      <c r="AM78" s="1179"/>
      <c r="AN78" s="1179"/>
      <c r="AO78" s="1179"/>
      <c r="AP78" s="1179"/>
      <c r="AQ78" s="1179"/>
    </row>
    <row r="79" spans="1:43" s="1855" customFormat="1" ht="17.25" customHeight="1">
      <c r="A79" s="244"/>
      <c r="C79" s="130"/>
      <c r="D79" s="2157">
        <v>4</v>
      </c>
      <c r="E79" s="2159" t="s">
        <v>228</v>
      </c>
      <c r="F79" s="2161" t="s">
        <v>56</v>
      </c>
      <c r="G79" s="2159"/>
      <c r="H79" s="2164"/>
      <c r="I79" s="2166"/>
      <c r="J79" s="2168"/>
      <c r="K79" s="2151"/>
      <c r="L79" s="2151"/>
      <c r="M79" s="2151"/>
      <c r="N79" s="2153"/>
      <c r="O79" s="2151"/>
      <c r="P79" s="2151"/>
      <c r="Q79" s="2151"/>
      <c r="R79" s="2156"/>
      <c r="S79" s="2151"/>
      <c r="T79" s="1357"/>
      <c r="U79" s="1357"/>
      <c r="V79" s="1359"/>
      <c r="W79" s="1215"/>
      <c r="X79" s="1186"/>
      <c r="Y79" s="1186"/>
      <c r="Z79" s="1186"/>
      <c r="AA79" s="1186"/>
      <c r="AB79" s="1186"/>
      <c r="AC79" s="1186" t="s">
        <v>229</v>
      </c>
      <c r="AD79" s="1186" t="s">
        <v>230</v>
      </c>
      <c r="AE79" s="1186" t="s">
        <v>231</v>
      </c>
      <c r="AF79" s="1186" t="s">
        <v>232</v>
      </c>
      <c r="AG79" s="1186"/>
      <c r="AH79" s="1186" t="str">
        <f>IF($E$79=0,"",$E$79)</f>
        <v>Тариф на подвоз воды</v>
      </c>
      <c r="AI79" s="1186" t="str">
        <f>IF($G$79=0,"",$G$79)</f>
        <v/>
      </c>
      <c r="AJ79" s="1186" t="str">
        <f>IF($J$79=0,"",$J$79)</f>
        <v/>
      </c>
      <c r="AK79" s="1186" t="str">
        <f>IF($K$79="нет","без дифференциации",IF($N$79=0,"",$N$79))</f>
        <v/>
      </c>
      <c r="AL79" s="1186" t="str">
        <f>IF($O$79="нет","без дифференциации",IF($R$79=0,"",$R$79))</f>
        <v/>
      </c>
      <c r="AM79" s="1186" t="str">
        <f>IF($S$79="нет","без дифференциации",IF($V$79=0,"",$V$79))</f>
        <v/>
      </c>
      <c r="AN79" s="1682">
        <f>$I$79</f>
        <v>0</v>
      </c>
      <c r="AO79" s="1186" t="str">
        <f>$I$79&amp;"."&amp;$M$79</f>
        <v>.</v>
      </c>
      <c r="AP79" s="1179" t="str">
        <f>$I$79&amp;"."&amp;$M$79&amp;"."&amp;$Q$79</f>
        <v>..</v>
      </c>
      <c r="AQ79" s="1179" t="str">
        <f>$I$79&amp;"."&amp;$M$79&amp;"."&amp;$Q$79&amp;"."&amp;$U$79</f>
        <v>...</v>
      </c>
    </row>
    <row r="80" spans="1:43" s="1855" customFormat="1" ht="17.25" customHeight="1">
      <c r="A80" s="244"/>
      <c r="C80" s="243"/>
      <c r="D80" s="2157"/>
      <c r="E80" s="2159"/>
      <c r="F80" s="2162"/>
      <c r="G80" s="2159"/>
      <c r="H80" s="2165"/>
      <c r="I80" s="2167"/>
      <c r="J80" s="2169"/>
      <c r="K80" s="2152"/>
      <c r="L80" s="2152"/>
      <c r="M80" s="2152"/>
      <c r="N80" s="2154"/>
      <c r="O80" s="2152"/>
      <c r="P80" s="2152"/>
      <c r="Q80" s="2152"/>
      <c r="R80" s="2155"/>
      <c r="S80" s="2152"/>
      <c r="T80" s="1216"/>
      <c r="U80" s="1216"/>
      <c r="V80" s="1216"/>
      <c r="W80" s="1217"/>
      <c r="X80" s="1179"/>
      <c r="Y80" s="1179"/>
      <c r="Z80" s="1179"/>
      <c r="AA80" s="1179"/>
      <c r="AB80" s="1179"/>
      <c r="AC80" s="1179"/>
      <c r="AD80" s="1179"/>
      <c r="AE80" s="1179"/>
      <c r="AF80" s="1179"/>
      <c r="AG80" s="1179"/>
      <c r="AH80" s="1179"/>
      <c r="AI80" s="1179"/>
      <c r="AJ80" s="1179"/>
      <c r="AK80" s="1179"/>
      <c r="AL80" s="1179"/>
      <c r="AM80" s="1179"/>
      <c r="AN80" s="1179"/>
      <c r="AO80" s="1179"/>
      <c r="AP80" s="1179"/>
      <c r="AQ80" s="1179"/>
    </row>
    <row r="81" spans="1:43" s="1855" customFormat="1" ht="17.25" customHeight="1">
      <c r="A81" s="244"/>
      <c r="C81" s="243"/>
      <c r="D81" s="2158"/>
      <c r="E81" s="2160"/>
      <c r="F81" s="2162"/>
      <c r="G81" s="2160"/>
      <c r="H81" s="2165"/>
      <c r="I81" s="2167"/>
      <c r="J81" s="2170"/>
      <c r="K81" s="2152"/>
      <c r="L81" s="2152"/>
      <c r="M81" s="2152"/>
      <c r="N81" s="2155"/>
      <c r="O81" s="2152"/>
      <c r="P81" s="1358"/>
      <c r="Q81" s="1216"/>
      <c r="R81" s="1216"/>
      <c r="S81" s="255"/>
      <c r="T81" s="255"/>
      <c r="U81" s="255"/>
      <c r="V81" s="255"/>
      <c r="W81" s="1217"/>
      <c r="X81" s="1179"/>
      <c r="Y81" s="1179"/>
      <c r="Z81" s="1179"/>
      <c r="AA81" s="1179"/>
      <c r="AB81" s="1179"/>
      <c r="AC81" s="1179"/>
      <c r="AD81" s="1179"/>
      <c r="AE81" s="1179"/>
      <c r="AF81" s="1179"/>
      <c r="AG81" s="1179"/>
      <c r="AH81" s="1179"/>
      <c r="AI81" s="1179"/>
      <c r="AJ81" s="1179"/>
      <c r="AK81" s="1179"/>
      <c r="AL81" s="1179"/>
      <c r="AM81" s="1179"/>
      <c r="AN81" s="1179"/>
      <c r="AO81" s="1179"/>
      <c r="AP81" s="1179"/>
      <c r="AQ81" s="1179"/>
    </row>
    <row r="82" spans="1:43" s="1855" customFormat="1" ht="17.25" customHeight="1">
      <c r="A82" s="244"/>
      <c r="C82" s="243"/>
      <c r="D82" s="2158"/>
      <c r="E82" s="2160"/>
      <c r="F82" s="2162"/>
      <c r="G82" s="2160"/>
      <c r="H82" s="2165"/>
      <c r="I82" s="2167"/>
      <c r="J82" s="2170"/>
      <c r="K82" s="2152"/>
      <c r="L82" s="1216"/>
      <c r="M82" s="1216"/>
      <c r="N82" s="1216"/>
      <c r="O82" s="1216"/>
      <c r="P82" s="1216"/>
      <c r="Q82" s="1216"/>
      <c r="R82" s="1216"/>
      <c r="S82" s="255"/>
      <c r="T82" s="255"/>
      <c r="U82" s="255"/>
      <c r="V82" s="255"/>
      <c r="W82" s="1217"/>
      <c r="X82" s="1179"/>
      <c r="Y82" s="1179"/>
      <c r="Z82" s="1179"/>
      <c r="AA82" s="1179"/>
      <c r="AB82" s="1179"/>
      <c r="AC82" s="1179"/>
      <c r="AD82" s="1179"/>
      <c r="AE82" s="1179"/>
      <c r="AF82" s="1179"/>
      <c r="AG82" s="1179"/>
      <c r="AH82" s="1179"/>
      <c r="AI82" s="1179"/>
      <c r="AJ82" s="1179"/>
      <c r="AK82" s="1179"/>
      <c r="AL82" s="1179"/>
      <c r="AM82" s="1179"/>
      <c r="AN82" s="1179"/>
      <c r="AO82" s="1179"/>
      <c r="AP82" s="1179"/>
      <c r="AQ82" s="1179"/>
    </row>
    <row r="83" spans="1:43" s="1855" customFormat="1" ht="17.25" customHeight="1">
      <c r="A83" s="244"/>
      <c r="C83" s="243"/>
      <c r="D83" s="2158"/>
      <c r="E83" s="2160"/>
      <c r="F83" s="2163"/>
      <c r="G83" s="2160"/>
      <c r="H83" s="1218"/>
      <c r="I83" s="1219"/>
      <c r="J83" s="1219"/>
      <c r="K83" s="1219"/>
      <c r="L83" s="1219"/>
      <c r="M83" s="1219"/>
      <c r="N83" s="1219"/>
      <c r="O83" s="1219"/>
      <c r="P83" s="1219"/>
      <c r="Q83" s="1219"/>
      <c r="R83" s="1219"/>
      <c r="S83" s="1220"/>
      <c r="T83" s="1220"/>
      <c r="U83" s="1220"/>
      <c r="V83" s="1220"/>
      <c r="W83" s="1221"/>
      <c r="X83" s="1179"/>
      <c r="Y83" s="1179"/>
      <c r="Z83" s="1179"/>
      <c r="AA83" s="1179"/>
      <c r="AB83" s="1179"/>
      <c r="AC83" s="1179"/>
      <c r="AD83" s="1179"/>
      <c r="AE83" s="1179"/>
      <c r="AF83" s="1179"/>
      <c r="AG83" s="1179"/>
      <c r="AH83" s="1179"/>
      <c r="AI83" s="1179"/>
      <c r="AJ83" s="1179"/>
      <c r="AK83" s="1179"/>
      <c r="AL83" s="1179"/>
      <c r="AM83" s="1179"/>
      <c r="AN83" s="1179"/>
      <c r="AO83" s="1179"/>
      <c r="AP83" s="1179"/>
      <c r="AQ83" s="1179"/>
    </row>
    <row r="84" spans="1:43" s="1855" customFormat="1" ht="17.25" customHeight="1">
      <c r="A84" s="244"/>
      <c r="C84" s="130"/>
      <c r="D84" s="2157">
        <v>5</v>
      </c>
      <c r="E84" s="2159" t="s">
        <v>233</v>
      </c>
      <c r="F84" s="2161" t="s">
        <v>56</v>
      </c>
      <c r="G84" s="2159"/>
      <c r="H84" s="2164"/>
      <c r="I84" s="2166"/>
      <c r="J84" s="2168"/>
      <c r="K84" s="2151"/>
      <c r="L84" s="2151"/>
      <c r="M84" s="2151"/>
      <c r="N84" s="2153"/>
      <c r="O84" s="2151"/>
      <c r="P84" s="2151"/>
      <c r="Q84" s="2151"/>
      <c r="R84" s="2156"/>
      <c r="S84" s="2151"/>
      <c r="T84" s="1381"/>
      <c r="U84" s="1381"/>
      <c r="V84" s="1383"/>
      <c r="W84" s="1215"/>
      <c r="X84" s="1186"/>
      <c r="Y84" s="1186"/>
      <c r="Z84" s="1186"/>
      <c r="AA84" s="1186"/>
      <c r="AB84" s="1186"/>
      <c r="AC84" s="1186" t="s">
        <v>234</v>
      </c>
      <c r="AD84" s="1186" t="s">
        <v>235</v>
      </c>
      <c r="AE84" s="1186" t="s">
        <v>236</v>
      </c>
      <c r="AF84" s="1186" t="s">
        <v>237</v>
      </c>
      <c r="AG84" s="1186"/>
      <c r="AH84" s="1186" t="str">
        <f>IF($E$84=0,"",$E$84)</f>
        <v>Тариф на подключение (технологическое присоединение) к централизованной системе холодного водоснабжения</v>
      </c>
      <c r="AI84" s="1186" t="str">
        <f>IF($G$84=0,"",$G$84)</f>
        <v/>
      </c>
      <c r="AJ84" s="1186" t="str">
        <f>IF($J$84=0,"",$J$84)</f>
        <v/>
      </c>
      <c r="AK84" s="1186" t="str">
        <f>IF($K$84="нет","без дифференциации",IF($N$84=0,"",$N$84))</f>
        <v/>
      </c>
      <c r="AL84" s="1186" t="str">
        <f>IF($O$84="нет","без дифференциации",IF($R$84=0,"",$R$84))</f>
        <v/>
      </c>
      <c r="AM84" s="1186" t="str">
        <f>IF($S$84="нет","без дифференциации",IF($V$84=0,"",$V$84))</f>
        <v/>
      </c>
      <c r="AN84" s="1682">
        <f>$I$84</f>
        <v>0</v>
      </c>
      <c r="AO84" s="1186" t="str">
        <f>$I$84&amp;"."&amp;$M$84</f>
        <v>.</v>
      </c>
      <c r="AP84" s="1179" t="str">
        <f>$I$84&amp;"."&amp;$M$84&amp;"."&amp;$Q$84</f>
        <v>..</v>
      </c>
      <c r="AQ84" s="1179" t="str">
        <f>$I$84&amp;"."&amp;$M$84&amp;"."&amp;$Q$84&amp;"."&amp;$U$84</f>
        <v>...</v>
      </c>
    </row>
    <row r="85" spans="1:43" s="1855" customFormat="1" ht="17.25" customHeight="1">
      <c r="A85" s="244"/>
      <c r="C85" s="243"/>
      <c r="D85" s="2157"/>
      <c r="E85" s="2159"/>
      <c r="F85" s="2162"/>
      <c r="G85" s="2159"/>
      <c r="H85" s="2165"/>
      <c r="I85" s="2167"/>
      <c r="J85" s="2169"/>
      <c r="K85" s="2152"/>
      <c r="L85" s="2152"/>
      <c r="M85" s="2152"/>
      <c r="N85" s="2154"/>
      <c r="O85" s="2152"/>
      <c r="P85" s="2152"/>
      <c r="Q85" s="2152"/>
      <c r="R85" s="2155"/>
      <c r="S85" s="2152"/>
      <c r="T85" s="1216"/>
      <c r="U85" s="1216"/>
      <c r="V85" s="1216"/>
      <c r="W85" s="1217"/>
      <c r="X85" s="1179"/>
      <c r="Y85" s="1179"/>
      <c r="Z85" s="1179"/>
      <c r="AA85" s="1179"/>
      <c r="AB85" s="1179"/>
      <c r="AC85" s="1179"/>
      <c r="AD85" s="1179"/>
      <c r="AE85" s="1179"/>
      <c r="AF85" s="1179"/>
      <c r="AG85" s="1179"/>
      <c r="AH85" s="1179"/>
      <c r="AI85" s="1179"/>
      <c r="AJ85" s="1179"/>
      <c r="AK85" s="1179"/>
      <c r="AL85" s="1179"/>
      <c r="AM85" s="1179"/>
      <c r="AN85" s="1179"/>
      <c r="AO85" s="1179"/>
      <c r="AP85" s="1179"/>
      <c r="AQ85" s="1179"/>
    </row>
    <row r="86" spans="1:43" s="1855" customFormat="1" ht="17.25" customHeight="1">
      <c r="A86" s="244"/>
      <c r="C86" s="243"/>
      <c r="D86" s="2158"/>
      <c r="E86" s="2160"/>
      <c r="F86" s="2162"/>
      <c r="G86" s="2160"/>
      <c r="H86" s="2165"/>
      <c r="I86" s="2167"/>
      <c r="J86" s="2170"/>
      <c r="K86" s="2152"/>
      <c r="L86" s="2152"/>
      <c r="M86" s="2152"/>
      <c r="N86" s="2155"/>
      <c r="O86" s="2152"/>
      <c r="P86" s="1382"/>
      <c r="Q86" s="1216"/>
      <c r="R86" s="1216"/>
      <c r="S86" s="255"/>
      <c r="T86" s="255"/>
      <c r="U86" s="255"/>
      <c r="V86" s="255"/>
      <c r="W86" s="1217"/>
      <c r="X86" s="1179"/>
      <c r="Y86" s="1179"/>
      <c r="Z86" s="1179"/>
      <c r="AA86" s="1179"/>
      <c r="AB86" s="1179"/>
      <c r="AC86" s="1179"/>
      <c r="AD86" s="1179"/>
      <c r="AE86" s="1179"/>
      <c r="AF86" s="1179"/>
      <c r="AG86" s="1179"/>
      <c r="AH86" s="1179"/>
      <c r="AI86" s="1179"/>
      <c r="AJ86" s="1179"/>
      <c r="AK86" s="1179"/>
      <c r="AL86" s="1179"/>
      <c r="AM86" s="1179"/>
      <c r="AN86" s="1179"/>
      <c r="AO86" s="1179"/>
      <c r="AP86" s="1179"/>
      <c r="AQ86" s="1179"/>
    </row>
    <row r="87" spans="1:43" s="1855" customFormat="1" ht="17.25" customHeight="1">
      <c r="A87" s="244"/>
      <c r="C87" s="243"/>
      <c r="D87" s="2158"/>
      <c r="E87" s="2160"/>
      <c r="F87" s="2162"/>
      <c r="G87" s="2160"/>
      <c r="H87" s="2165"/>
      <c r="I87" s="2167"/>
      <c r="J87" s="2170"/>
      <c r="K87" s="2152"/>
      <c r="L87" s="1216"/>
      <c r="M87" s="1216"/>
      <c r="N87" s="1216"/>
      <c r="O87" s="1216"/>
      <c r="P87" s="1216"/>
      <c r="Q87" s="1216"/>
      <c r="R87" s="1216"/>
      <c r="S87" s="255"/>
      <c r="T87" s="255"/>
      <c r="U87" s="255"/>
      <c r="V87" s="255"/>
      <c r="W87" s="1217"/>
      <c r="X87" s="1179"/>
      <c r="Y87" s="1179"/>
      <c r="Z87" s="1179"/>
      <c r="AA87" s="1179"/>
      <c r="AB87" s="1179"/>
      <c r="AC87" s="1179"/>
      <c r="AD87" s="1179"/>
      <c r="AE87" s="1179"/>
      <c r="AF87" s="1179"/>
      <c r="AG87" s="1179"/>
      <c r="AH87" s="1179"/>
      <c r="AI87" s="1179"/>
      <c r="AJ87" s="1179"/>
      <c r="AK87" s="1179"/>
      <c r="AL87" s="1179"/>
      <c r="AM87" s="1179"/>
      <c r="AN87" s="1179"/>
      <c r="AO87" s="1179"/>
      <c r="AP87" s="1179"/>
      <c r="AQ87" s="1179"/>
    </row>
    <row r="88" spans="1:43" s="1855" customFormat="1" ht="17.25" customHeight="1">
      <c r="A88" s="244"/>
      <c r="C88" s="243"/>
      <c r="D88" s="2158"/>
      <c r="E88" s="2160"/>
      <c r="F88" s="2163"/>
      <c r="G88" s="2160"/>
      <c r="H88" s="1218"/>
      <c r="I88" s="1219"/>
      <c r="J88" s="1219"/>
      <c r="K88" s="1219"/>
      <c r="L88" s="1219"/>
      <c r="M88" s="1219"/>
      <c r="N88" s="1219"/>
      <c r="O88" s="1219"/>
      <c r="P88" s="1219"/>
      <c r="Q88" s="1219"/>
      <c r="R88" s="1219"/>
      <c r="S88" s="1220"/>
      <c r="T88" s="1220"/>
      <c r="U88" s="1220"/>
      <c r="V88" s="1220"/>
      <c r="W88" s="1221"/>
      <c r="X88" s="1179"/>
      <c r="Y88" s="1179"/>
      <c r="Z88" s="1179"/>
      <c r="AA88" s="1179"/>
      <c r="AB88" s="1179"/>
      <c r="AC88" s="1179"/>
      <c r="AD88" s="1179"/>
      <c r="AE88" s="1179"/>
      <c r="AF88" s="1179"/>
      <c r="AG88" s="1179"/>
      <c r="AH88" s="1179"/>
      <c r="AI88" s="1179"/>
      <c r="AJ88" s="1179"/>
      <c r="AK88" s="1179"/>
      <c r="AL88" s="1179"/>
      <c r="AM88" s="1179"/>
      <c r="AN88" s="1179"/>
      <c r="AO88" s="1179"/>
      <c r="AP88" s="1179"/>
      <c r="AQ88" s="1179"/>
    </row>
    <row r="89" spans="1:43" s="1897" customFormat="1" ht="11.25" hidden="1" customHeight="1">
      <c r="A89" s="194"/>
      <c r="B89" s="194"/>
      <c r="Y89" s="1179"/>
      <c r="Z89" s="1179"/>
      <c r="AA89" s="1179"/>
      <c r="AB89" s="1179"/>
      <c r="AC89" s="1179"/>
      <c r="AD89" s="1179"/>
      <c r="AE89" s="1179"/>
      <c r="AF89" s="1179"/>
      <c r="AG89" s="1179"/>
      <c r="AH89" s="1179"/>
      <c r="AI89" s="1179"/>
      <c r="AJ89" s="1179"/>
      <c r="AK89" s="1179"/>
      <c r="AL89" s="1179"/>
      <c r="AM89" s="1179"/>
      <c r="AN89" s="1179"/>
      <c r="AO89" s="1179"/>
      <c r="AP89" s="1179"/>
      <c r="AQ89" s="1179"/>
    </row>
    <row r="90" spans="1:43" s="1897" customFormat="1" ht="17.25" hidden="1" customHeight="1">
      <c r="A90" s="244"/>
      <c r="C90" s="130"/>
      <c r="D90" s="2157">
        <v>1</v>
      </c>
      <c r="E90" s="2159" t="s">
        <v>238</v>
      </c>
      <c r="F90" s="2161" t="s">
        <v>56</v>
      </c>
      <c r="G90" s="2159"/>
      <c r="H90" s="2164"/>
      <c r="I90" s="2166"/>
      <c r="J90" s="2168"/>
      <c r="K90" s="2151"/>
      <c r="L90" s="2151"/>
      <c r="M90" s="2151"/>
      <c r="N90" s="2153"/>
      <c r="O90" s="2151"/>
      <c r="P90" s="2151"/>
      <c r="Q90" s="2151"/>
      <c r="R90" s="2156"/>
      <c r="S90" s="2151"/>
      <c r="T90" s="1381"/>
      <c r="U90" s="1381"/>
      <c r="V90" s="1383"/>
      <c r="W90" s="1215"/>
      <c r="Y90" s="1186"/>
      <c r="Z90" s="1186"/>
      <c r="AA90" s="1186"/>
      <c r="AB90" s="1186"/>
      <c r="AC90" s="1186" t="s">
        <v>239</v>
      </c>
      <c r="AD90" s="1186" t="s">
        <v>240</v>
      </c>
      <c r="AE90" s="1186" t="s">
        <v>241</v>
      </c>
      <c r="AF90" s="1186" t="s">
        <v>242</v>
      </c>
      <c r="AG90" s="1186"/>
      <c r="AH90" s="1186" t="str">
        <f>IF($E$90=0,"",$E$90)</f>
        <v>Тариф на горячую воду (горячее водоснабжение)</v>
      </c>
      <c r="AI90" s="1186" t="str">
        <f>IF($G$90=0,"",$G$90)</f>
        <v/>
      </c>
      <c r="AJ90" s="1186" t="str">
        <f>IF($J$90=0,"",$J$90)</f>
        <v/>
      </c>
      <c r="AK90" s="1186" t="str">
        <f>IF($K$90="нет","без дифференциации",IF($N$90=0,"",$N$90))</f>
        <v/>
      </c>
      <c r="AL90" s="1186" t="str">
        <f>IF($O$90="нет","без дифференциации",IF($R$90=0,"",$R$90))</f>
        <v/>
      </c>
      <c r="AM90" s="1186" t="str">
        <f>IF($S$90="нет","без дифференциации",IF($V$90=0,"",$V$90))</f>
        <v/>
      </c>
      <c r="AN90" s="1186">
        <f>$I$90</f>
        <v>0</v>
      </c>
      <c r="AO90" s="1186" t="str">
        <f>$I$90&amp;"."&amp;$M$90</f>
        <v>.</v>
      </c>
      <c r="AP90" s="1186" t="str">
        <f>$I$90&amp;"."&amp;$M$90&amp;"."&amp;$Q$90</f>
        <v>..</v>
      </c>
      <c r="AQ90" s="1186" t="str">
        <f>$I$90&amp;"."&amp;$M$90&amp;"."&amp;$Q$90&amp;"."&amp;$U$90</f>
        <v>...</v>
      </c>
    </row>
    <row r="91" spans="1:43" s="1897" customFormat="1" ht="17.25" hidden="1" customHeight="1">
      <c r="A91" s="244"/>
      <c r="C91" s="243"/>
      <c r="D91" s="2157"/>
      <c r="E91" s="2159"/>
      <c r="F91" s="2162"/>
      <c r="G91" s="2159"/>
      <c r="H91" s="2165"/>
      <c r="I91" s="2167"/>
      <c r="J91" s="2169"/>
      <c r="K91" s="2152"/>
      <c r="L91" s="2152"/>
      <c r="M91" s="2152"/>
      <c r="N91" s="2154"/>
      <c r="O91" s="2152"/>
      <c r="P91" s="2152"/>
      <c r="Q91" s="2152"/>
      <c r="R91" s="2155"/>
      <c r="S91" s="2152"/>
      <c r="T91" s="1216"/>
      <c r="U91" s="1216"/>
      <c r="V91" s="1216"/>
      <c r="W91" s="1217"/>
      <c r="Y91" s="1179"/>
      <c r="Z91" s="1179"/>
      <c r="AA91" s="1179"/>
      <c r="AB91" s="1179"/>
      <c r="AC91" s="1179"/>
      <c r="AD91" s="1179"/>
      <c r="AE91" s="1179"/>
      <c r="AF91" s="1179"/>
      <c r="AG91" s="1179"/>
      <c r="AH91" s="1179"/>
      <c r="AI91" s="1179"/>
      <c r="AJ91" s="1179"/>
      <c r="AK91" s="1179"/>
      <c r="AL91" s="1179"/>
      <c r="AM91" s="1179"/>
      <c r="AN91" s="1179"/>
      <c r="AO91" s="1179"/>
      <c r="AP91" s="1179"/>
      <c r="AQ91" s="1179"/>
    </row>
    <row r="92" spans="1:43" s="1897" customFormat="1" ht="17.25" hidden="1" customHeight="1">
      <c r="A92" s="244"/>
      <c r="C92" s="130"/>
      <c r="D92" s="2157"/>
      <c r="E92" s="2159"/>
      <c r="F92" s="2162"/>
      <c r="G92" s="2159"/>
      <c r="H92" s="2165"/>
      <c r="I92" s="2167"/>
      <c r="J92" s="2170"/>
      <c r="K92" s="2152"/>
      <c r="L92" s="2152"/>
      <c r="M92" s="2152"/>
      <c r="N92" s="2155"/>
      <c r="O92" s="2152"/>
      <c r="P92" s="1382"/>
      <c r="Q92" s="1216"/>
      <c r="R92" s="1216"/>
      <c r="S92" s="255"/>
      <c r="T92" s="255"/>
      <c r="U92" s="255"/>
      <c r="V92" s="255"/>
      <c r="W92" s="1217"/>
      <c r="Y92" s="1186"/>
      <c r="Z92" s="1186"/>
      <c r="AA92" s="1186"/>
      <c r="AB92" s="1186"/>
      <c r="AC92" s="1186"/>
      <c r="AD92" s="1186"/>
      <c r="AE92" s="1186"/>
      <c r="AF92" s="1186"/>
      <c r="AG92" s="1186"/>
      <c r="AH92" s="1186"/>
      <c r="AI92" s="1186"/>
      <c r="AJ92" s="1186"/>
      <c r="AK92" s="1186"/>
      <c r="AL92" s="1186"/>
      <c r="AM92" s="1186"/>
      <c r="AN92" s="1186"/>
      <c r="AO92" s="1186"/>
      <c r="AP92" s="1186"/>
      <c r="AQ92" s="1186"/>
    </row>
    <row r="93" spans="1:43" s="1897" customFormat="1" ht="17.25" hidden="1" customHeight="1">
      <c r="A93" s="244"/>
      <c r="C93" s="243"/>
      <c r="D93" s="2157"/>
      <c r="E93" s="2159"/>
      <c r="F93" s="2162"/>
      <c r="G93" s="2159"/>
      <c r="H93" s="2165"/>
      <c r="I93" s="2167"/>
      <c r="J93" s="2170"/>
      <c r="K93" s="2152"/>
      <c r="L93" s="1216"/>
      <c r="M93" s="1216"/>
      <c r="N93" s="1216"/>
      <c r="O93" s="1216"/>
      <c r="P93" s="1216"/>
      <c r="Q93" s="1216"/>
      <c r="R93" s="1216"/>
      <c r="S93" s="255"/>
      <c r="T93" s="255"/>
      <c r="U93" s="255"/>
      <c r="V93" s="255"/>
      <c r="W93" s="1217"/>
      <c r="Y93" s="1179"/>
      <c r="Z93" s="1179"/>
      <c r="AA93" s="1179"/>
      <c r="AB93" s="1179"/>
      <c r="AC93" s="1179"/>
      <c r="AD93" s="1179"/>
      <c r="AE93" s="1179"/>
      <c r="AF93" s="1179"/>
      <c r="AG93" s="1179"/>
      <c r="AH93" s="1179"/>
      <c r="AI93" s="1179"/>
      <c r="AJ93" s="1179"/>
      <c r="AK93" s="1179"/>
      <c r="AL93" s="1179"/>
      <c r="AM93" s="1179"/>
      <c r="AN93" s="1179"/>
      <c r="AO93" s="1179"/>
      <c r="AP93" s="1179"/>
      <c r="AQ93" s="1179"/>
    </row>
    <row r="94" spans="1:43" s="1897" customFormat="1" ht="17.25" hidden="1" customHeight="1">
      <c r="A94" s="244"/>
      <c r="C94" s="243"/>
      <c r="D94" s="2158"/>
      <c r="E94" s="2160"/>
      <c r="F94" s="2163"/>
      <c r="G94" s="2160"/>
      <c r="H94" s="1218"/>
      <c r="I94" s="1219"/>
      <c r="J94" s="1219"/>
      <c r="K94" s="1219"/>
      <c r="L94" s="1219"/>
      <c r="M94" s="1219"/>
      <c r="N94" s="1219"/>
      <c r="O94" s="1219"/>
      <c r="P94" s="1219"/>
      <c r="Q94" s="1219"/>
      <c r="R94" s="1219"/>
      <c r="S94" s="1220"/>
      <c r="T94" s="1220"/>
      <c r="U94" s="1220"/>
      <c r="V94" s="1220"/>
      <c r="W94" s="1221"/>
      <c r="Y94" s="1179"/>
      <c r="Z94" s="1179"/>
      <c r="AA94" s="1179"/>
      <c r="AB94" s="1179"/>
      <c r="AC94" s="1179"/>
      <c r="AD94" s="1179"/>
      <c r="AE94" s="1179"/>
      <c r="AF94" s="1179"/>
      <c r="AG94" s="1179"/>
      <c r="AH94" s="1179"/>
      <c r="AI94" s="1179"/>
      <c r="AJ94" s="1179"/>
      <c r="AK94" s="1179"/>
      <c r="AL94" s="1179"/>
      <c r="AM94" s="1179"/>
      <c r="AN94" s="1179"/>
      <c r="AO94" s="1179"/>
      <c r="AP94" s="1179"/>
      <c r="AQ94" s="1179"/>
    </row>
    <row r="95" spans="1:43" s="1897" customFormat="1" ht="17.25" hidden="1" customHeight="1">
      <c r="A95" s="244"/>
      <c r="C95" s="130"/>
      <c r="D95" s="2157">
        <v>2</v>
      </c>
      <c r="E95" s="2159" t="s">
        <v>243</v>
      </c>
      <c r="F95" s="2161" t="s">
        <v>56</v>
      </c>
      <c r="G95" s="2159"/>
      <c r="H95" s="2164"/>
      <c r="I95" s="2166"/>
      <c r="J95" s="2168"/>
      <c r="K95" s="2151"/>
      <c r="L95" s="2151"/>
      <c r="M95" s="2151"/>
      <c r="N95" s="2153"/>
      <c r="O95" s="2151"/>
      <c r="P95" s="2151"/>
      <c r="Q95" s="2151"/>
      <c r="R95" s="2156"/>
      <c r="S95" s="2151"/>
      <c r="T95" s="1381"/>
      <c r="U95" s="1381"/>
      <c r="V95" s="1383"/>
      <c r="W95" s="1215"/>
      <c r="X95" s="1186"/>
      <c r="Y95" s="1186"/>
      <c r="Z95" s="1186"/>
      <c r="AA95" s="1186"/>
      <c r="AB95" s="1186"/>
      <c r="AC95" s="1186" t="s">
        <v>244</v>
      </c>
      <c r="AD95" s="1186" t="s">
        <v>245</v>
      </c>
      <c r="AE95" s="1186" t="s">
        <v>246</v>
      </c>
      <c r="AF95" s="1186" t="s">
        <v>247</v>
      </c>
      <c r="AG95" s="1186"/>
      <c r="AH95" s="1186" t="str">
        <f>IF($E$95=0,"",$E$95)</f>
        <v>Тариф на транспортировку горячей воды</v>
      </c>
      <c r="AI95" s="1186" t="str">
        <f>IF($G$95=0,"",$G$95)</f>
        <v/>
      </c>
      <c r="AJ95" s="1186" t="str">
        <f>IF($J$95=0,"",$J$95)</f>
        <v/>
      </c>
      <c r="AK95" s="1186" t="str">
        <f>IF($K$95="нет","без дифференциации",IF($N$95=0,"",$N$95))</f>
        <v/>
      </c>
      <c r="AL95" s="1186" t="str">
        <f>IF($O$95="нет","без дифференциации",IF($R$95=0,"",$R$95))</f>
        <v/>
      </c>
      <c r="AM95" s="1186" t="str">
        <f>IF($S$95="нет","без дифференциации",IF($V$95=0,"",$V$95))</f>
        <v/>
      </c>
      <c r="AN95" s="1682">
        <f>$I$95</f>
        <v>0</v>
      </c>
      <c r="AO95" s="1186" t="str">
        <f>$I$95&amp;"."&amp;$M$95</f>
        <v>.</v>
      </c>
      <c r="AP95" s="1179" t="str">
        <f>$I$95&amp;"."&amp;$M$95&amp;"."&amp;$Q$95</f>
        <v>..</v>
      </c>
      <c r="AQ95" s="1179" t="str">
        <f>$I$95&amp;"."&amp;$M$95&amp;"."&amp;$Q$95&amp;"."&amp;$U$95</f>
        <v>...</v>
      </c>
    </row>
    <row r="96" spans="1:43" s="1897" customFormat="1" ht="17.25" hidden="1" customHeight="1">
      <c r="A96" s="244"/>
      <c r="C96" s="243"/>
      <c r="D96" s="2157"/>
      <c r="E96" s="2159"/>
      <c r="F96" s="2162"/>
      <c r="G96" s="2159"/>
      <c r="H96" s="2165"/>
      <c r="I96" s="2167"/>
      <c r="J96" s="2169"/>
      <c r="K96" s="2152"/>
      <c r="L96" s="2152"/>
      <c r="M96" s="2152"/>
      <c r="N96" s="2154"/>
      <c r="O96" s="2152"/>
      <c r="P96" s="2152"/>
      <c r="Q96" s="2152"/>
      <c r="R96" s="2155"/>
      <c r="S96" s="2152"/>
      <c r="T96" s="1216"/>
      <c r="U96" s="1216"/>
      <c r="V96" s="1216"/>
      <c r="W96" s="1217"/>
      <c r="X96" s="1179"/>
      <c r="Y96" s="1179"/>
      <c r="Z96" s="1179"/>
      <c r="AA96" s="1179"/>
      <c r="AB96" s="1179"/>
      <c r="AC96" s="1179"/>
      <c r="AD96" s="1179"/>
      <c r="AE96" s="1179"/>
      <c r="AF96" s="1179"/>
      <c r="AG96" s="1179"/>
      <c r="AH96" s="1179"/>
      <c r="AI96" s="1179"/>
      <c r="AJ96" s="1179"/>
      <c r="AK96" s="1179"/>
      <c r="AL96" s="1179"/>
      <c r="AM96" s="1179"/>
      <c r="AN96" s="1179"/>
      <c r="AO96" s="1179"/>
      <c r="AP96" s="1179"/>
      <c r="AQ96" s="1179"/>
    </row>
    <row r="97" spans="1:43" s="1897" customFormat="1" ht="17.25" hidden="1" customHeight="1">
      <c r="A97" s="244"/>
      <c r="C97" s="243"/>
      <c r="D97" s="2158"/>
      <c r="E97" s="2160"/>
      <c r="F97" s="2162"/>
      <c r="G97" s="2160"/>
      <c r="H97" s="2165"/>
      <c r="I97" s="2167"/>
      <c r="J97" s="2170"/>
      <c r="K97" s="2152"/>
      <c r="L97" s="2152"/>
      <c r="M97" s="2152"/>
      <c r="N97" s="2155"/>
      <c r="O97" s="2152"/>
      <c r="P97" s="1382"/>
      <c r="Q97" s="1216"/>
      <c r="R97" s="1216"/>
      <c r="S97" s="255"/>
      <c r="T97" s="255"/>
      <c r="U97" s="255"/>
      <c r="V97" s="255"/>
      <c r="W97" s="1217"/>
      <c r="X97" s="1179"/>
      <c r="Y97" s="1179"/>
      <c r="Z97" s="1179"/>
      <c r="AA97" s="1179"/>
      <c r="AB97" s="1179"/>
      <c r="AC97" s="1179"/>
      <c r="AD97" s="1179"/>
      <c r="AE97" s="1179"/>
      <c r="AF97" s="1179"/>
      <c r="AG97" s="1179"/>
      <c r="AH97" s="1179"/>
      <c r="AI97" s="1179"/>
      <c r="AJ97" s="1179"/>
      <c r="AK97" s="1179"/>
      <c r="AL97" s="1179"/>
      <c r="AM97" s="1179"/>
      <c r="AN97" s="1179"/>
      <c r="AO97" s="1179"/>
      <c r="AP97" s="1179"/>
      <c r="AQ97" s="1179"/>
    </row>
    <row r="98" spans="1:43" s="1897" customFormat="1" ht="17.25" hidden="1" customHeight="1">
      <c r="A98" s="244"/>
      <c r="C98" s="243"/>
      <c r="D98" s="2158"/>
      <c r="E98" s="2160"/>
      <c r="F98" s="2162"/>
      <c r="G98" s="2160"/>
      <c r="H98" s="2165"/>
      <c r="I98" s="2167"/>
      <c r="J98" s="2170"/>
      <c r="K98" s="2152"/>
      <c r="L98" s="1216"/>
      <c r="M98" s="1216"/>
      <c r="N98" s="1216"/>
      <c r="O98" s="1216"/>
      <c r="P98" s="1216"/>
      <c r="Q98" s="1216"/>
      <c r="R98" s="1216"/>
      <c r="S98" s="255"/>
      <c r="T98" s="255"/>
      <c r="U98" s="255"/>
      <c r="V98" s="255"/>
      <c r="W98" s="1217"/>
      <c r="X98" s="1179"/>
      <c r="Y98" s="1179"/>
      <c r="Z98" s="1179"/>
      <c r="AA98" s="1179"/>
      <c r="AB98" s="1179"/>
      <c r="AC98" s="1179"/>
      <c r="AD98" s="1179"/>
      <c r="AE98" s="1179"/>
      <c r="AF98" s="1179"/>
      <c r="AG98" s="1179"/>
      <c r="AH98" s="1179"/>
      <c r="AI98" s="1179"/>
      <c r="AJ98" s="1179"/>
      <c r="AK98" s="1179"/>
      <c r="AL98" s="1179"/>
      <c r="AM98" s="1179"/>
      <c r="AN98" s="1179"/>
      <c r="AO98" s="1179"/>
      <c r="AP98" s="1179"/>
      <c r="AQ98" s="1179"/>
    </row>
    <row r="99" spans="1:43" s="1897" customFormat="1" ht="17.25" hidden="1" customHeight="1">
      <c r="A99" s="244"/>
      <c r="C99" s="243"/>
      <c r="D99" s="2158"/>
      <c r="E99" s="2160"/>
      <c r="F99" s="2163"/>
      <c r="G99" s="2160"/>
      <c r="H99" s="1218"/>
      <c r="I99" s="1219"/>
      <c r="J99" s="1219"/>
      <c r="K99" s="1219"/>
      <c r="L99" s="1219"/>
      <c r="M99" s="1219"/>
      <c r="N99" s="1219"/>
      <c r="O99" s="1219"/>
      <c r="P99" s="1219"/>
      <c r="Q99" s="1219"/>
      <c r="R99" s="1219"/>
      <c r="S99" s="1220"/>
      <c r="T99" s="1220"/>
      <c r="U99" s="1220"/>
      <c r="V99" s="1220"/>
      <c r="W99" s="1221"/>
      <c r="X99" s="1179"/>
      <c r="Y99" s="1179"/>
      <c r="Z99" s="1179"/>
      <c r="AA99" s="1179"/>
      <c r="AB99" s="1179"/>
      <c r="AC99" s="1179"/>
      <c r="AD99" s="1179"/>
      <c r="AE99" s="1179"/>
      <c r="AF99" s="1179"/>
      <c r="AG99" s="1179"/>
      <c r="AH99" s="1179"/>
      <c r="AI99" s="1179"/>
      <c r="AJ99" s="1179"/>
      <c r="AK99" s="1179"/>
      <c r="AL99" s="1179"/>
      <c r="AM99" s="1179"/>
      <c r="AN99" s="1179"/>
      <c r="AO99" s="1179"/>
      <c r="AP99" s="1179"/>
      <c r="AQ99" s="1179"/>
    </row>
    <row r="100" spans="1:43" s="1897" customFormat="1" ht="17.25" hidden="1" customHeight="1">
      <c r="A100" s="244"/>
      <c r="C100" s="130"/>
      <c r="D100" s="2157">
        <v>3</v>
      </c>
      <c r="E100" s="2159" t="s">
        <v>248</v>
      </c>
      <c r="F100" s="2161" t="s">
        <v>56</v>
      </c>
      <c r="G100" s="2159"/>
      <c r="H100" s="2164"/>
      <c r="I100" s="2166"/>
      <c r="J100" s="2168"/>
      <c r="K100" s="2151"/>
      <c r="L100" s="2151"/>
      <c r="M100" s="2151"/>
      <c r="N100" s="2153"/>
      <c r="O100" s="2151"/>
      <c r="P100" s="2151"/>
      <c r="Q100" s="2151"/>
      <c r="R100" s="2156"/>
      <c r="S100" s="2151"/>
      <c r="T100" s="1381"/>
      <c r="U100" s="1381"/>
      <c r="V100" s="1383"/>
      <c r="W100" s="1215"/>
      <c r="X100" s="1186"/>
      <c r="Y100" s="1186"/>
      <c r="Z100" s="1186"/>
      <c r="AA100" s="1186"/>
      <c r="AB100" s="1186"/>
      <c r="AC100" s="1186" t="s">
        <v>249</v>
      </c>
      <c r="AD100" s="1186" t="s">
        <v>250</v>
      </c>
      <c r="AE100" s="1186" t="s">
        <v>251</v>
      </c>
      <c r="AF100" s="1186" t="s">
        <v>252</v>
      </c>
      <c r="AG100" s="1186"/>
      <c r="AH100" s="1186" t="str">
        <f>IF($E$100=0,"",$E$100)</f>
        <v>Тариф на подключение (технологическое присоединение) к централизованной системе горячего водоснабжения</v>
      </c>
      <c r="AI100" s="1186" t="str">
        <f>IF($G$100=0,"",$G$100)</f>
        <v/>
      </c>
      <c r="AJ100" s="1186" t="str">
        <f>IF($J$100=0,"",$J$100)</f>
        <v/>
      </c>
      <c r="AK100" s="1186" t="str">
        <f>IF($K$100="нет","без дифференциации",IF($N$100=0,"",$N$100))</f>
        <v/>
      </c>
      <c r="AL100" s="1186" t="str">
        <f>IF($O$100="нет","без дифференциации",IF($R$100=0,"",$R$100))</f>
        <v/>
      </c>
      <c r="AM100" s="1186" t="str">
        <f>IF($S$100="нет","без дифференциации",IF($V$100=0,"",$V$100))</f>
        <v/>
      </c>
      <c r="AN100" s="1682">
        <f>$I$100</f>
        <v>0</v>
      </c>
      <c r="AO100" s="1186" t="str">
        <f>$I$100&amp;"."&amp;$M$100</f>
        <v>.</v>
      </c>
      <c r="AP100" s="1179" t="str">
        <f>$I$100&amp;"."&amp;$M$100&amp;"."&amp;$Q$100</f>
        <v>..</v>
      </c>
      <c r="AQ100" s="1179" t="str">
        <f>$I$100&amp;"."&amp;$M$100&amp;"."&amp;$Q$100&amp;"."&amp;$U$100</f>
        <v>...</v>
      </c>
    </row>
    <row r="101" spans="1:43" s="1897" customFormat="1" ht="17.25" hidden="1" customHeight="1">
      <c r="A101" s="244"/>
      <c r="C101" s="243"/>
      <c r="D101" s="2157"/>
      <c r="E101" s="2159"/>
      <c r="F101" s="2162"/>
      <c r="G101" s="2159"/>
      <c r="H101" s="2165"/>
      <c r="I101" s="2167"/>
      <c r="J101" s="2169"/>
      <c r="K101" s="2152"/>
      <c r="L101" s="2152"/>
      <c r="M101" s="2152"/>
      <c r="N101" s="2154"/>
      <c r="O101" s="2152"/>
      <c r="P101" s="2152"/>
      <c r="Q101" s="2152"/>
      <c r="R101" s="2155"/>
      <c r="S101" s="2152"/>
      <c r="T101" s="1216"/>
      <c r="U101" s="1216"/>
      <c r="V101" s="1216"/>
      <c r="W101" s="1217"/>
      <c r="X101" s="1179"/>
      <c r="Y101" s="1179"/>
      <c r="Z101" s="1179"/>
      <c r="AA101" s="1179"/>
      <c r="AB101" s="1179"/>
      <c r="AC101" s="1179"/>
      <c r="AD101" s="1179"/>
      <c r="AE101" s="1179"/>
      <c r="AF101" s="1179"/>
      <c r="AG101" s="1179"/>
      <c r="AH101" s="1179"/>
      <c r="AI101" s="1179"/>
      <c r="AJ101" s="1179"/>
      <c r="AK101" s="1179"/>
      <c r="AL101" s="1179"/>
      <c r="AM101" s="1179"/>
      <c r="AN101" s="1179"/>
      <c r="AO101" s="1179"/>
      <c r="AP101" s="1179"/>
      <c r="AQ101" s="1179"/>
    </row>
    <row r="102" spans="1:43" s="1897" customFormat="1" ht="17.25" hidden="1" customHeight="1">
      <c r="A102" s="244"/>
      <c r="C102" s="243"/>
      <c r="D102" s="2158"/>
      <c r="E102" s="2160"/>
      <c r="F102" s="2162"/>
      <c r="G102" s="2160"/>
      <c r="H102" s="2165"/>
      <c r="I102" s="2167"/>
      <c r="J102" s="2170"/>
      <c r="K102" s="2152"/>
      <c r="L102" s="2152"/>
      <c r="M102" s="2152"/>
      <c r="N102" s="2155"/>
      <c r="O102" s="2152"/>
      <c r="P102" s="1382"/>
      <c r="Q102" s="1216"/>
      <c r="R102" s="1216"/>
      <c r="S102" s="255"/>
      <c r="T102" s="255"/>
      <c r="U102" s="255"/>
      <c r="V102" s="255"/>
      <c r="W102" s="1217"/>
      <c r="X102" s="1179"/>
      <c r="Y102" s="1179"/>
      <c r="Z102" s="1179"/>
      <c r="AA102" s="1179"/>
      <c r="AB102" s="1179"/>
      <c r="AC102" s="1179"/>
      <c r="AD102" s="1179"/>
      <c r="AE102" s="1179"/>
      <c r="AF102" s="1179"/>
      <c r="AG102" s="1179"/>
      <c r="AH102" s="1179"/>
      <c r="AI102" s="1179"/>
      <c r="AJ102" s="1179"/>
      <c r="AK102" s="1179"/>
      <c r="AL102" s="1179"/>
      <c r="AM102" s="1179"/>
      <c r="AN102" s="1179"/>
      <c r="AO102" s="1179"/>
      <c r="AP102" s="1179"/>
      <c r="AQ102" s="1179"/>
    </row>
    <row r="103" spans="1:43" s="1897" customFormat="1" ht="17.25" hidden="1" customHeight="1">
      <c r="A103" s="244"/>
      <c r="C103" s="243"/>
      <c r="D103" s="2158"/>
      <c r="E103" s="2160"/>
      <c r="F103" s="2162"/>
      <c r="G103" s="2160"/>
      <c r="H103" s="2165"/>
      <c r="I103" s="2167"/>
      <c r="J103" s="2170"/>
      <c r="K103" s="2152"/>
      <c r="L103" s="1216"/>
      <c r="M103" s="1216"/>
      <c r="N103" s="1216"/>
      <c r="O103" s="1216"/>
      <c r="P103" s="1216"/>
      <c r="Q103" s="1216"/>
      <c r="R103" s="1216"/>
      <c r="S103" s="255"/>
      <c r="T103" s="255"/>
      <c r="U103" s="255"/>
      <c r="V103" s="255"/>
      <c r="W103" s="1217"/>
      <c r="X103" s="1179"/>
      <c r="Y103" s="1179"/>
      <c r="Z103" s="1179"/>
      <c r="AA103" s="1179"/>
      <c r="AB103" s="1179"/>
      <c r="AC103" s="1179"/>
      <c r="AD103" s="1179"/>
      <c r="AE103" s="1179"/>
      <c r="AF103" s="1179"/>
      <c r="AG103" s="1179"/>
      <c r="AH103" s="1179"/>
      <c r="AI103" s="1179"/>
      <c r="AJ103" s="1179"/>
      <c r="AK103" s="1179"/>
      <c r="AL103" s="1179"/>
      <c r="AM103" s="1179"/>
      <c r="AN103" s="1179"/>
      <c r="AO103" s="1179"/>
      <c r="AP103" s="1179"/>
      <c r="AQ103" s="1179"/>
    </row>
    <row r="104" spans="1:43" s="1897" customFormat="1" ht="17.25" hidden="1" customHeight="1">
      <c r="A104" s="244"/>
      <c r="C104" s="243"/>
      <c r="D104" s="2158"/>
      <c r="E104" s="2160"/>
      <c r="F104" s="2163"/>
      <c r="G104" s="2160"/>
      <c r="H104" s="1218"/>
      <c r="I104" s="1219"/>
      <c r="J104" s="1219"/>
      <c r="K104" s="1219"/>
      <c r="L104" s="1219"/>
      <c r="M104" s="1219"/>
      <c r="N104" s="1219"/>
      <c r="O104" s="1219"/>
      <c r="P104" s="1219"/>
      <c r="Q104" s="1219"/>
      <c r="R104" s="1219"/>
      <c r="S104" s="1220"/>
      <c r="T104" s="1220"/>
      <c r="U104" s="1220"/>
      <c r="V104" s="1220"/>
      <c r="W104" s="1221"/>
      <c r="X104" s="1179"/>
      <c r="Y104" s="1179"/>
      <c r="Z104" s="1179"/>
      <c r="AA104" s="1179"/>
      <c r="AB104" s="1179"/>
      <c r="AC104" s="1179"/>
      <c r="AD104" s="1179"/>
      <c r="AE104" s="1179"/>
      <c r="AF104" s="1179"/>
      <c r="AG104" s="1179"/>
      <c r="AH104" s="1179"/>
      <c r="AI104" s="1179"/>
      <c r="AJ104" s="1179"/>
      <c r="AK104" s="1179"/>
      <c r="AL104" s="1179"/>
      <c r="AM104" s="1179"/>
      <c r="AN104" s="1179"/>
      <c r="AO104" s="1179"/>
      <c r="AP104" s="1179"/>
      <c r="AQ104" s="1179"/>
    </row>
    <row r="105" spans="1:43" s="1897" customFormat="1" ht="11.25" hidden="1" customHeight="1">
      <c r="A105" s="194"/>
      <c r="B105" s="194"/>
      <c r="Y105" s="1179"/>
      <c r="Z105" s="1179"/>
      <c r="AA105" s="1179"/>
      <c r="AB105" s="1179"/>
      <c r="AC105" s="1179"/>
      <c r="AD105" s="1179"/>
      <c r="AE105" s="1179"/>
      <c r="AF105" s="1179"/>
      <c r="AG105" s="1179"/>
      <c r="AH105" s="1179"/>
      <c r="AI105" s="1179"/>
      <c r="AJ105" s="1179"/>
      <c r="AK105" s="1179"/>
      <c r="AL105" s="1179"/>
      <c r="AM105" s="1179"/>
      <c r="AN105" s="1179"/>
      <c r="AO105" s="1179"/>
      <c r="AP105" s="1179"/>
      <c r="AQ105" s="1179"/>
    </row>
    <row r="106" spans="1:43" s="1897" customFormat="1" ht="17.25" hidden="1" customHeight="1">
      <c r="A106" s="244"/>
      <c r="C106" s="130"/>
      <c r="D106" s="2157">
        <v>1</v>
      </c>
      <c r="E106" s="2159" t="s">
        <v>253</v>
      </c>
      <c r="F106" s="2161" t="s">
        <v>56</v>
      </c>
      <c r="G106" s="2159"/>
      <c r="H106" s="2164"/>
      <c r="I106" s="2166"/>
      <c r="J106" s="2168"/>
      <c r="K106" s="2151"/>
      <c r="L106" s="2151"/>
      <c r="M106" s="2151"/>
      <c r="N106" s="2153"/>
      <c r="O106" s="2151"/>
      <c r="P106" s="2151"/>
      <c r="Q106" s="2151"/>
      <c r="R106" s="2156"/>
      <c r="S106" s="2151"/>
      <c r="T106" s="1381"/>
      <c r="U106" s="1381"/>
      <c r="V106" s="1383"/>
      <c r="W106" s="1215"/>
      <c r="Y106" s="1186"/>
      <c r="Z106" s="1186"/>
      <c r="AA106" s="1186"/>
      <c r="AB106" s="1186"/>
      <c r="AC106" s="1186" t="s">
        <v>254</v>
      </c>
      <c r="AD106" s="1186" t="s">
        <v>255</v>
      </c>
      <c r="AE106" s="1186" t="s">
        <v>256</v>
      </c>
      <c r="AF106" s="1186" t="s">
        <v>257</v>
      </c>
      <c r="AG106" s="1186"/>
      <c r="AH106" s="1186" t="str">
        <f>IF($E$106=0,"",$E$106)</f>
        <v>Тариф на водоотведение</v>
      </c>
      <c r="AI106" s="1186" t="str">
        <f>IF($G$106=0,"",$G$106)</f>
        <v/>
      </c>
      <c r="AJ106" s="1186" t="str">
        <f>IF($J$106=0,"",$J$106)</f>
        <v/>
      </c>
      <c r="AK106" s="1186" t="str">
        <f>IF($K$106="нет","без дифференциации",IF($N$106=0,"",$N$106))</f>
        <v/>
      </c>
      <c r="AL106" s="1186" t="str">
        <f>IF($O$106="нет","без дифференциации",IF($R$106=0,"",$R$106))</f>
        <v/>
      </c>
      <c r="AM106" s="1186" t="str">
        <f>IF($S$106="нет","без дифференциации",IF($V$106=0,"",$V$106))</f>
        <v/>
      </c>
      <c r="AN106" s="1186">
        <f>$I$106</f>
        <v>0</v>
      </c>
      <c r="AO106" s="1186" t="str">
        <f>$I$106&amp;"."&amp;$M$106</f>
        <v>.</v>
      </c>
      <c r="AP106" s="1186" t="str">
        <f>$I$106&amp;"."&amp;$M$106&amp;"."&amp;$Q$106</f>
        <v>..</v>
      </c>
      <c r="AQ106" s="1186" t="str">
        <f>$I$106&amp;"."&amp;$M$106&amp;"."&amp;$Q$106&amp;"."&amp;$U$106</f>
        <v>...</v>
      </c>
    </row>
    <row r="107" spans="1:43" s="1897" customFormat="1" ht="17.25" hidden="1" customHeight="1">
      <c r="A107" s="244"/>
      <c r="C107" s="243"/>
      <c r="D107" s="2157"/>
      <c r="E107" s="2159"/>
      <c r="F107" s="2162"/>
      <c r="G107" s="2159"/>
      <c r="H107" s="2165"/>
      <c r="I107" s="2167"/>
      <c r="J107" s="2169"/>
      <c r="K107" s="2152"/>
      <c r="L107" s="2152"/>
      <c r="M107" s="2152"/>
      <c r="N107" s="2154"/>
      <c r="O107" s="2152"/>
      <c r="P107" s="2152"/>
      <c r="Q107" s="2152"/>
      <c r="R107" s="2155"/>
      <c r="S107" s="2152"/>
      <c r="T107" s="1216"/>
      <c r="U107" s="1216"/>
      <c r="V107" s="1216"/>
      <c r="W107" s="1217"/>
      <c r="Y107" s="1179"/>
      <c r="Z107" s="1179"/>
      <c r="AA107" s="1179"/>
      <c r="AB107" s="1179"/>
      <c r="AC107" s="1179"/>
      <c r="AD107" s="1179"/>
      <c r="AE107" s="1179"/>
      <c r="AF107" s="1179"/>
      <c r="AG107" s="1179"/>
      <c r="AH107" s="1179"/>
      <c r="AI107" s="1179"/>
      <c r="AJ107" s="1179"/>
      <c r="AK107" s="1179"/>
      <c r="AL107" s="1179"/>
      <c r="AM107" s="1179"/>
      <c r="AN107" s="1179"/>
      <c r="AO107" s="1179"/>
      <c r="AP107" s="1179"/>
      <c r="AQ107" s="1179"/>
    </row>
    <row r="108" spans="1:43" s="1897" customFormat="1" ht="17.25" hidden="1" customHeight="1">
      <c r="A108" s="244"/>
      <c r="C108" s="130"/>
      <c r="D108" s="2157"/>
      <c r="E108" s="2159"/>
      <c r="F108" s="2162"/>
      <c r="G108" s="2159"/>
      <c r="H108" s="2165"/>
      <c r="I108" s="2167"/>
      <c r="J108" s="2170"/>
      <c r="K108" s="2152"/>
      <c r="L108" s="2152"/>
      <c r="M108" s="2152"/>
      <c r="N108" s="2155"/>
      <c r="O108" s="2152"/>
      <c r="P108" s="1382"/>
      <c r="Q108" s="1216"/>
      <c r="R108" s="1216"/>
      <c r="S108" s="255"/>
      <c r="T108" s="255"/>
      <c r="U108" s="255"/>
      <c r="V108" s="255"/>
      <c r="W108" s="1217"/>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row>
    <row r="109" spans="1:43" s="1897" customFormat="1" ht="17.25" hidden="1" customHeight="1">
      <c r="A109" s="244"/>
      <c r="C109" s="243"/>
      <c r="D109" s="2157"/>
      <c r="E109" s="2159"/>
      <c r="F109" s="2162"/>
      <c r="G109" s="2159"/>
      <c r="H109" s="2165"/>
      <c r="I109" s="2167"/>
      <c r="J109" s="2170"/>
      <c r="K109" s="2152"/>
      <c r="L109" s="1216"/>
      <c r="M109" s="1216"/>
      <c r="N109" s="1216"/>
      <c r="O109" s="1216"/>
      <c r="P109" s="1216"/>
      <c r="Q109" s="1216"/>
      <c r="R109" s="1216"/>
      <c r="S109" s="255"/>
      <c r="T109" s="255"/>
      <c r="U109" s="255"/>
      <c r="V109" s="255"/>
      <c r="W109" s="1217"/>
      <c r="Y109" s="1179"/>
      <c r="Z109" s="1179"/>
      <c r="AA109" s="1179"/>
      <c r="AB109" s="1179"/>
      <c r="AC109" s="1179"/>
      <c r="AD109" s="1179"/>
      <c r="AE109" s="1179"/>
      <c r="AF109" s="1179"/>
      <c r="AG109" s="1179"/>
      <c r="AH109" s="1179"/>
      <c r="AI109" s="1179"/>
      <c r="AJ109" s="1179"/>
      <c r="AK109" s="1179"/>
      <c r="AL109" s="1179"/>
      <c r="AM109" s="1179"/>
      <c r="AN109" s="1179"/>
      <c r="AO109" s="1179"/>
      <c r="AP109" s="1179"/>
      <c r="AQ109" s="1179"/>
    </row>
    <row r="110" spans="1:43" s="1897" customFormat="1" ht="17.25" hidden="1" customHeight="1">
      <c r="A110" s="244"/>
      <c r="C110" s="243"/>
      <c r="D110" s="2158"/>
      <c r="E110" s="2160"/>
      <c r="F110" s="2163"/>
      <c r="G110" s="2160"/>
      <c r="H110" s="1218"/>
      <c r="I110" s="1219"/>
      <c r="J110" s="1219"/>
      <c r="K110" s="1219"/>
      <c r="L110" s="1219"/>
      <c r="M110" s="1219"/>
      <c r="N110" s="1219"/>
      <c r="O110" s="1219"/>
      <c r="P110" s="1219"/>
      <c r="Q110" s="1219"/>
      <c r="R110" s="1219"/>
      <c r="S110" s="1220"/>
      <c r="T110" s="1220"/>
      <c r="U110" s="1220"/>
      <c r="V110" s="1220"/>
      <c r="W110" s="1221"/>
      <c r="Y110" s="1179"/>
      <c r="Z110" s="1179"/>
      <c r="AA110" s="1179"/>
      <c r="AB110" s="1179"/>
      <c r="AC110" s="1179"/>
      <c r="AD110" s="1179"/>
      <c r="AE110" s="1179"/>
      <c r="AF110" s="1179"/>
      <c r="AG110" s="1179"/>
      <c r="AH110" s="1179"/>
      <c r="AI110" s="1179"/>
      <c r="AJ110" s="1179"/>
      <c r="AK110" s="1179"/>
      <c r="AL110" s="1179"/>
      <c r="AM110" s="1179"/>
      <c r="AN110" s="1179"/>
      <c r="AO110" s="1179"/>
      <c r="AP110" s="1179"/>
      <c r="AQ110" s="1179"/>
    </row>
    <row r="111" spans="1:43" s="1897" customFormat="1" ht="17.25" hidden="1" customHeight="1">
      <c r="A111" s="244"/>
      <c r="C111" s="130"/>
      <c r="D111" s="2157">
        <v>2</v>
      </c>
      <c r="E111" s="2159" t="s">
        <v>258</v>
      </c>
      <c r="F111" s="2161" t="s">
        <v>56</v>
      </c>
      <c r="G111" s="2159"/>
      <c r="H111" s="2164"/>
      <c r="I111" s="2166"/>
      <c r="J111" s="2168"/>
      <c r="K111" s="2151"/>
      <c r="L111" s="2151"/>
      <c r="M111" s="2151"/>
      <c r="N111" s="2153"/>
      <c r="O111" s="2151"/>
      <c r="P111" s="2151"/>
      <c r="Q111" s="2151"/>
      <c r="R111" s="2156"/>
      <c r="S111" s="2151"/>
      <c r="T111" s="1381"/>
      <c r="U111" s="1381"/>
      <c r="V111" s="1383"/>
      <c r="W111" s="1215"/>
      <c r="X111" s="1186"/>
      <c r="Y111" s="1186"/>
      <c r="Z111" s="1186"/>
      <c r="AA111" s="1186"/>
      <c r="AB111" s="1186"/>
      <c r="AC111" s="1186" t="s">
        <v>259</v>
      </c>
      <c r="AD111" s="1186" t="s">
        <v>260</v>
      </c>
      <c r="AE111" s="1186" t="s">
        <v>261</v>
      </c>
      <c r="AF111" s="1186" t="s">
        <v>262</v>
      </c>
      <c r="AG111" s="1186"/>
      <c r="AH111" s="1186" t="str">
        <f>IF($E$111=0,"",$E$111)</f>
        <v>Тариф на транспортировку сточных вод</v>
      </c>
      <c r="AI111" s="1186" t="str">
        <f>IF($G$111=0,"",$G$111)</f>
        <v/>
      </c>
      <c r="AJ111" s="1186" t="str">
        <f>IF($J$111=0,"",$J$111)</f>
        <v/>
      </c>
      <c r="AK111" s="1186" t="str">
        <f>IF($K$111="нет","без дифференциации",IF($N$111=0,"",$N$111))</f>
        <v/>
      </c>
      <c r="AL111" s="1186" t="str">
        <f>IF($O$111="нет","без дифференциации",IF($R$111=0,"",$R$111))</f>
        <v/>
      </c>
      <c r="AM111" s="1186" t="str">
        <f>IF($S$111="нет","без дифференциации",IF($V$111=0,"",$V$111))</f>
        <v/>
      </c>
      <c r="AN111" s="1682">
        <f>$I$111</f>
        <v>0</v>
      </c>
      <c r="AO111" s="1186" t="str">
        <f>$I$111&amp;"."&amp;$M$111</f>
        <v>.</v>
      </c>
      <c r="AP111" s="1179" t="str">
        <f>$I$111&amp;"."&amp;$M$111&amp;"."&amp;$Q$111</f>
        <v>..</v>
      </c>
      <c r="AQ111" s="1179" t="str">
        <f>$I$111&amp;"."&amp;$M$111&amp;"."&amp;$Q$111&amp;"."&amp;$U$111</f>
        <v>...</v>
      </c>
    </row>
    <row r="112" spans="1:43" s="1897" customFormat="1" ht="17.25" hidden="1" customHeight="1">
      <c r="A112" s="244"/>
      <c r="C112" s="243"/>
      <c r="D112" s="2157"/>
      <c r="E112" s="2159"/>
      <c r="F112" s="2162"/>
      <c r="G112" s="2159"/>
      <c r="H112" s="2165"/>
      <c r="I112" s="2167"/>
      <c r="J112" s="2169"/>
      <c r="K112" s="2152"/>
      <c r="L112" s="2152"/>
      <c r="M112" s="2152"/>
      <c r="N112" s="2154"/>
      <c r="O112" s="2152"/>
      <c r="P112" s="2152"/>
      <c r="Q112" s="2152"/>
      <c r="R112" s="2155"/>
      <c r="S112" s="2152"/>
      <c r="T112" s="1216"/>
      <c r="U112" s="1216"/>
      <c r="V112" s="1216"/>
      <c r="W112" s="1217"/>
      <c r="X112" s="1179"/>
      <c r="Y112" s="1179"/>
      <c r="Z112" s="1179"/>
      <c r="AA112" s="1179"/>
      <c r="AB112" s="1179"/>
      <c r="AC112" s="1179"/>
      <c r="AD112" s="1179"/>
      <c r="AE112" s="1179"/>
      <c r="AF112" s="1179"/>
      <c r="AG112" s="1179"/>
      <c r="AH112" s="1179"/>
      <c r="AI112" s="1179"/>
      <c r="AJ112" s="1179"/>
      <c r="AK112" s="1179"/>
      <c r="AL112" s="1179"/>
      <c r="AM112" s="1179"/>
      <c r="AN112" s="1179"/>
      <c r="AO112" s="1179"/>
      <c r="AP112" s="1179"/>
      <c r="AQ112" s="1179"/>
    </row>
    <row r="113" spans="1:43" s="1897" customFormat="1" ht="17.25" hidden="1" customHeight="1">
      <c r="A113" s="244"/>
      <c r="C113" s="243"/>
      <c r="D113" s="2158"/>
      <c r="E113" s="2160"/>
      <c r="F113" s="2162"/>
      <c r="G113" s="2160"/>
      <c r="H113" s="2165"/>
      <c r="I113" s="2167"/>
      <c r="J113" s="2170"/>
      <c r="K113" s="2152"/>
      <c r="L113" s="2152"/>
      <c r="M113" s="2152"/>
      <c r="N113" s="2155"/>
      <c r="O113" s="2152"/>
      <c r="P113" s="1382"/>
      <c r="Q113" s="1216"/>
      <c r="R113" s="1216"/>
      <c r="S113" s="255"/>
      <c r="T113" s="255"/>
      <c r="U113" s="255"/>
      <c r="V113" s="255"/>
      <c r="W113" s="1217"/>
      <c r="X113" s="1179"/>
      <c r="Y113" s="1179"/>
      <c r="Z113" s="1179"/>
      <c r="AA113" s="1179"/>
      <c r="AB113" s="1179"/>
      <c r="AC113" s="1179"/>
      <c r="AD113" s="1179"/>
      <c r="AE113" s="1179"/>
      <c r="AF113" s="1179"/>
      <c r="AG113" s="1179"/>
      <c r="AH113" s="1179"/>
      <c r="AI113" s="1179"/>
      <c r="AJ113" s="1179"/>
      <c r="AK113" s="1179"/>
      <c r="AL113" s="1179"/>
      <c r="AM113" s="1179"/>
      <c r="AN113" s="1179"/>
      <c r="AO113" s="1179"/>
      <c r="AP113" s="1179"/>
      <c r="AQ113" s="1179"/>
    </row>
    <row r="114" spans="1:43" s="1897" customFormat="1" ht="17.25" hidden="1" customHeight="1">
      <c r="A114" s="244"/>
      <c r="C114" s="243"/>
      <c r="D114" s="2158"/>
      <c r="E114" s="2160"/>
      <c r="F114" s="2162"/>
      <c r="G114" s="2160"/>
      <c r="H114" s="2165"/>
      <c r="I114" s="2167"/>
      <c r="J114" s="2170"/>
      <c r="K114" s="2152"/>
      <c r="L114" s="1216"/>
      <c r="M114" s="1216"/>
      <c r="N114" s="1216"/>
      <c r="O114" s="1216"/>
      <c r="P114" s="1216"/>
      <c r="Q114" s="1216"/>
      <c r="R114" s="1216"/>
      <c r="S114" s="255"/>
      <c r="T114" s="255"/>
      <c r="U114" s="255"/>
      <c r="V114" s="255"/>
      <c r="W114" s="1217"/>
      <c r="X114" s="1179"/>
      <c r="Y114" s="1179"/>
      <c r="Z114" s="1179"/>
      <c r="AA114" s="1179"/>
      <c r="AB114" s="1179"/>
      <c r="AC114" s="1179"/>
      <c r="AD114" s="1179"/>
      <c r="AE114" s="1179"/>
      <c r="AF114" s="1179"/>
      <c r="AG114" s="1179"/>
      <c r="AH114" s="1179"/>
      <c r="AI114" s="1179"/>
      <c r="AJ114" s="1179"/>
      <c r="AK114" s="1179"/>
      <c r="AL114" s="1179"/>
      <c r="AM114" s="1179"/>
      <c r="AN114" s="1179"/>
      <c r="AO114" s="1179"/>
      <c r="AP114" s="1179"/>
      <c r="AQ114" s="1179"/>
    </row>
    <row r="115" spans="1:43" s="1897" customFormat="1" ht="17.25" hidden="1" customHeight="1">
      <c r="A115" s="244"/>
      <c r="C115" s="243"/>
      <c r="D115" s="2158"/>
      <c r="E115" s="2160"/>
      <c r="F115" s="2163"/>
      <c r="G115" s="2160"/>
      <c r="H115" s="1218"/>
      <c r="I115" s="1219"/>
      <c r="J115" s="1219"/>
      <c r="K115" s="1219"/>
      <c r="L115" s="1219"/>
      <c r="M115" s="1219"/>
      <c r="N115" s="1219"/>
      <c r="O115" s="1219"/>
      <c r="P115" s="1219"/>
      <c r="Q115" s="1219"/>
      <c r="R115" s="1219"/>
      <c r="S115" s="1220"/>
      <c r="T115" s="1220"/>
      <c r="U115" s="1220"/>
      <c r="V115" s="1220"/>
      <c r="W115" s="1221"/>
      <c r="X115" s="1179"/>
      <c r="Y115" s="1179"/>
      <c r="Z115" s="1179"/>
      <c r="AA115" s="1179"/>
      <c r="AB115" s="1179"/>
      <c r="AC115" s="1179"/>
      <c r="AD115" s="1179"/>
      <c r="AE115" s="1179"/>
      <c r="AF115" s="1179"/>
      <c r="AG115" s="1179"/>
      <c r="AH115" s="1179"/>
      <c r="AI115" s="1179"/>
      <c r="AJ115" s="1179"/>
      <c r="AK115" s="1179"/>
      <c r="AL115" s="1179"/>
      <c r="AM115" s="1179"/>
      <c r="AN115" s="1179"/>
      <c r="AO115" s="1179"/>
      <c r="AP115" s="1179"/>
      <c r="AQ115" s="1179"/>
    </row>
    <row r="116" spans="1:43" s="1897" customFormat="1" ht="17.25" hidden="1" customHeight="1">
      <c r="A116" s="244"/>
      <c r="C116" s="130"/>
      <c r="D116" s="2157">
        <v>3</v>
      </c>
      <c r="E116" s="2159" t="s">
        <v>263</v>
      </c>
      <c r="F116" s="2161" t="s">
        <v>56</v>
      </c>
      <c r="G116" s="2159"/>
      <c r="H116" s="2164"/>
      <c r="I116" s="2166"/>
      <c r="J116" s="2168"/>
      <c r="K116" s="2151"/>
      <c r="L116" s="2151"/>
      <c r="M116" s="2151"/>
      <c r="N116" s="2153"/>
      <c r="O116" s="2151"/>
      <c r="P116" s="2151"/>
      <c r="Q116" s="2151"/>
      <c r="R116" s="2156"/>
      <c r="S116" s="2151"/>
      <c r="T116" s="1381"/>
      <c r="U116" s="1381"/>
      <c r="V116" s="1383"/>
      <c r="W116" s="1215"/>
      <c r="X116" s="1186"/>
      <c r="Y116" s="1186"/>
      <c r="Z116" s="1186"/>
      <c r="AA116" s="1186"/>
      <c r="AB116" s="1186"/>
      <c r="AC116" s="1186" t="s">
        <v>264</v>
      </c>
      <c r="AD116" s="1186" t="s">
        <v>265</v>
      </c>
      <c r="AE116" s="1186" t="s">
        <v>266</v>
      </c>
      <c r="AF116" s="1186" t="s">
        <v>267</v>
      </c>
      <c r="AG116" s="1186"/>
      <c r="AH116" s="1186" t="str">
        <f>IF($E$116=0,"",$E$116)</f>
        <v>Тариф на подключение (технологическое присоединение) к централизованной системе водоотведения</v>
      </c>
      <c r="AI116" s="1186" t="str">
        <f>IF($G$116=0,"",$G$116)</f>
        <v/>
      </c>
      <c r="AJ116" s="1186" t="str">
        <f>IF($J$116=0,"",$J$116)</f>
        <v/>
      </c>
      <c r="AK116" s="1186" t="str">
        <f>IF($K$116="нет","без дифференциации",IF($N$116=0,"",$N$116))</f>
        <v/>
      </c>
      <c r="AL116" s="1186" t="str">
        <f>IF($O$116="нет","без дифференциации",IF($R$116=0,"",$R$116))</f>
        <v/>
      </c>
      <c r="AM116" s="1186" t="str">
        <f>IF($S$116="нет","без дифференциации",IF($V$116=0,"",$V$116))</f>
        <v/>
      </c>
      <c r="AN116" s="1682">
        <f>$I$116</f>
        <v>0</v>
      </c>
      <c r="AO116" s="1186" t="str">
        <f>$I$116&amp;"."&amp;$M$116</f>
        <v>.</v>
      </c>
      <c r="AP116" s="1179" t="str">
        <f>$I$116&amp;"."&amp;$M$116&amp;"."&amp;$Q$116</f>
        <v>..</v>
      </c>
      <c r="AQ116" s="1179" t="str">
        <f>$I$116&amp;"."&amp;$M$116&amp;"."&amp;$Q$116&amp;"."&amp;$U$116</f>
        <v>...</v>
      </c>
    </row>
    <row r="117" spans="1:43" s="1897" customFormat="1" ht="17.25" hidden="1" customHeight="1">
      <c r="A117" s="244"/>
      <c r="C117" s="243"/>
      <c r="D117" s="2157"/>
      <c r="E117" s="2159"/>
      <c r="F117" s="2162"/>
      <c r="G117" s="2159"/>
      <c r="H117" s="2165"/>
      <c r="I117" s="2167"/>
      <c r="J117" s="2169"/>
      <c r="K117" s="2152"/>
      <c r="L117" s="2152"/>
      <c r="M117" s="2152"/>
      <c r="N117" s="2154"/>
      <c r="O117" s="2152"/>
      <c r="P117" s="2152"/>
      <c r="Q117" s="2152"/>
      <c r="R117" s="2155"/>
      <c r="S117" s="2152"/>
      <c r="T117" s="1216"/>
      <c r="U117" s="1216"/>
      <c r="V117" s="1216"/>
      <c r="W117" s="1217"/>
      <c r="X117" s="1179"/>
      <c r="Y117" s="1179"/>
      <c r="Z117" s="1179"/>
      <c r="AA117" s="1179"/>
      <c r="AB117" s="1179"/>
      <c r="AC117" s="1179"/>
      <c r="AD117" s="1179"/>
      <c r="AE117" s="1179"/>
      <c r="AF117" s="1179"/>
      <c r="AG117" s="1179"/>
      <c r="AH117" s="1179"/>
      <c r="AI117" s="1179"/>
      <c r="AJ117" s="1179"/>
      <c r="AK117" s="1179"/>
      <c r="AL117" s="1179"/>
      <c r="AM117" s="1179"/>
      <c r="AN117" s="1179"/>
      <c r="AO117" s="1179"/>
      <c r="AP117" s="1179"/>
      <c r="AQ117" s="1179"/>
    </row>
    <row r="118" spans="1:43" s="1897" customFormat="1" ht="17.25" hidden="1" customHeight="1">
      <c r="A118" s="244"/>
      <c r="C118" s="243"/>
      <c r="D118" s="2158"/>
      <c r="E118" s="2160"/>
      <c r="F118" s="2162"/>
      <c r="G118" s="2160"/>
      <c r="H118" s="2165"/>
      <c r="I118" s="2167"/>
      <c r="J118" s="2170"/>
      <c r="K118" s="2152"/>
      <c r="L118" s="2152"/>
      <c r="M118" s="2152"/>
      <c r="N118" s="2155"/>
      <c r="O118" s="2152"/>
      <c r="P118" s="1382"/>
      <c r="Q118" s="1216"/>
      <c r="R118" s="1216"/>
      <c r="S118" s="255"/>
      <c r="T118" s="255"/>
      <c r="U118" s="255"/>
      <c r="V118" s="255"/>
      <c r="W118" s="1217"/>
      <c r="X118" s="1179"/>
      <c r="Y118" s="1179"/>
      <c r="Z118" s="1179"/>
      <c r="AA118" s="1179"/>
      <c r="AB118" s="1179"/>
      <c r="AC118" s="1179"/>
      <c r="AD118" s="1179"/>
      <c r="AE118" s="1179"/>
      <c r="AF118" s="1179"/>
      <c r="AG118" s="1179"/>
      <c r="AH118" s="1179"/>
      <c r="AI118" s="1179"/>
      <c r="AJ118" s="1179"/>
      <c r="AK118" s="1179"/>
      <c r="AL118" s="1179"/>
      <c r="AM118" s="1179"/>
      <c r="AN118" s="1179"/>
      <c r="AO118" s="1179"/>
      <c r="AP118" s="1179"/>
      <c r="AQ118" s="1179"/>
    </row>
    <row r="119" spans="1:43" s="1897" customFormat="1" ht="17.25" hidden="1" customHeight="1">
      <c r="A119" s="244"/>
      <c r="C119" s="243"/>
      <c r="D119" s="2158"/>
      <c r="E119" s="2160"/>
      <c r="F119" s="2162"/>
      <c r="G119" s="2160"/>
      <c r="H119" s="2165"/>
      <c r="I119" s="2167"/>
      <c r="J119" s="2170"/>
      <c r="K119" s="2152"/>
      <c r="L119" s="1216"/>
      <c r="M119" s="1216"/>
      <c r="N119" s="1216"/>
      <c r="O119" s="1216"/>
      <c r="P119" s="1216"/>
      <c r="Q119" s="1216"/>
      <c r="R119" s="1216"/>
      <c r="S119" s="255"/>
      <c r="T119" s="255"/>
      <c r="U119" s="255"/>
      <c r="V119" s="255"/>
      <c r="W119" s="1217"/>
      <c r="X119" s="1179"/>
      <c r="Y119" s="1179"/>
      <c r="Z119" s="1179"/>
      <c r="AA119" s="1179"/>
      <c r="AB119" s="1179"/>
      <c r="AC119" s="1179"/>
      <c r="AD119" s="1179"/>
      <c r="AE119" s="1179"/>
      <c r="AF119" s="1179"/>
      <c r="AG119" s="1179"/>
      <c r="AH119" s="1179"/>
      <c r="AI119" s="1179"/>
      <c r="AJ119" s="1179"/>
      <c r="AK119" s="1179"/>
      <c r="AL119" s="1179"/>
      <c r="AM119" s="1179"/>
      <c r="AN119" s="1179"/>
      <c r="AO119" s="1179"/>
      <c r="AP119" s="1179"/>
      <c r="AQ119" s="1179"/>
    </row>
    <row r="120" spans="1:43" s="1897" customFormat="1" ht="17.25" hidden="1" customHeight="1">
      <c r="A120" s="244"/>
      <c r="C120" s="243"/>
      <c r="D120" s="2158"/>
      <c r="E120" s="2160"/>
      <c r="F120" s="2163"/>
      <c r="G120" s="2160"/>
      <c r="H120" s="1218"/>
      <c r="I120" s="1219"/>
      <c r="J120" s="1219"/>
      <c r="K120" s="1219"/>
      <c r="L120" s="1219"/>
      <c r="M120" s="1219"/>
      <c r="N120" s="1219"/>
      <c r="O120" s="1219"/>
      <c r="P120" s="1219"/>
      <c r="Q120" s="1219"/>
      <c r="R120" s="1219"/>
      <c r="S120" s="1220"/>
      <c r="T120" s="1220"/>
      <c r="U120" s="1220"/>
      <c r="V120" s="1220"/>
      <c r="W120" s="1221"/>
      <c r="X120" s="1179"/>
      <c r="Y120" s="1179"/>
      <c r="Z120" s="1179"/>
      <c r="AA120" s="1179"/>
      <c r="AB120" s="1179"/>
      <c r="AC120" s="1179"/>
      <c r="AD120" s="1179"/>
      <c r="AE120" s="1179"/>
      <c r="AF120" s="1179"/>
      <c r="AG120" s="1179"/>
      <c r="AH120" s="1179"/>
      <c r="AI120" s="1179"/>
      <c r="AJ120" s="1179"/>
      <c r="AK120" s="1179"/>
      <c r="AL120" s="1179"/>
      <c r="AM120" s="1179"/>
      <c r="AN120" s="1179"/>
      <c r="AO120" s="1179"/>
      <c r="AP120" s="1179"/>
      <c r="AQ120" s="1179"/>
    </row>
    <row r="124" spans="1:43" ht="11.25" customHeight="1">
      <c r="E124" s="1267"/>
    </row>
    <row r="125" spans="1:43" ht="11.25" customHeight="1">
      <c r="E125" s="1267"/>
    </row>
    <row r="126" spans="1:43" ht="11.25" customHeight="1">
      <c r="E126" s="1267"/>
    </row>
    <row r="127" spans="1:43" ht="11.25" customHeight="1">
      <c r="E127" s="1267"/>
    </row>
    <row r="128" spans="1:43" ht="11.25" customHeight="1">
      <c r="E128" s="1267"/>
    </row>
    <row r="129" spans="5:5" ht="11.25" customHeight="1">
      <c r="E129" s="1267"/>
    </row>
    <row r="130" spans="5:5" ht="11.25" customHeight="1">
      <c r="E130" s="1267"/>
    </row>
  </sheetData>
  <sheetProtection formatColumns="0" formatRows="0" insertRows="0" deleteColumns="0" deleteRows="0" sort="0" autoFilter="0"/>
  <mergeCells count="332">
    <mergeCell ref="Q64:Q65"/>
    <mergeCell ref="R64:R65"/>
    <mergeCell ref="H64:H67"/>
    <mergeCell ref="I64:I67"/>
    <mergeCell ref="J64:J67"/>
    <mergeCell ref="K64:K67"/>
    <mergeCell ref="L64:L66"/>
    <mergeCell ref="M64:M66"/>
    <mergeCell ref="N64:N66"/>
    <mergeCell ref="O64:O66"/>
    <mergeCell ref="P64:P65"/>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K111:K114"/>
    <mergeCell ref="L111:L113"/>
    <mergeCell ref="H106:H109"/>
    <mergeCell ref="I106:I109"/>
    <mergeCell ref="J106:J109"/>
    <mergeCell ref="K106:K109"/>
    <mergeCell ref="L106:L108"/>
    <mergeCell ref="M106:M108"/>
    <mergeCell ref="N106:N108"/>
    <mergeCell ref="O106:O108"/>
    <mergeCell ref="M111:M113"/>
    <mergeCell ref="N111:N113"/>
    <mergeCell ref="O111:O113"/>
    <mergeCell ref="P106:P107"/>
    <mergeCell ref="Q106:Q107"/>
    <mergeCell ref="R106:R107"/>
    <mergeCell ref="P111:P112"/>
    <mergeCell ref="Q111:Q112"/>
    <mergeCell ref="R111:R112"/>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E60:W60"/>
    <mergeCell ref="E61:W61"/>
    <mergeCell ref="K74:K77"/>
    <mergeCell ref="E38:E42"/>
    <mergeCell ref="F38:F42"/>
    <mergeCell ref="H38:H41"/>
    <mergeCell ref="G38:G42"/>
    <mergeCell ref="S64:S65"/>
    <mergeCell ref="W64:W65"/>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K13:K16"/>
    <mergeCell ref="G18:G22"/>
    <mergeCell ref="K18:K21"/>
    <mergeCell ref="N23:N25"/>
    <mergeCell ref="L10:M10"/>
    <mergeCell ref="P10:Q10"/>
    <mergeCell ref="L11:M11"/>
    <mergeCell ref="L74:L76"/>
    <mergeCell ref="Q69:Q70"/>
    <mergeCell ref="R69:R70"/>
    <mergeCell ref="S69:S70"/>
    <mergeCell ref="K69:K72"/>
    <mergeCell ref="N69:N71"/>
    <mergeCell ref="O69:O71"/>
    <mergeCell ref="P69:P70"/>
    <mergeCell ref="S74:S75"/>
    <mergeCell ref="N74:N76"/>
    <mergeCell ref="O74:O76"/>
    <mergeCell ref="P74:P75"/>
    <mergeCell ref="Q74:Q75"/>
    <mergeCell ref="R74:R75"/>
    <mergeCell ref="L69:L71"/>
    <mergeCell ref="M69:M71"/>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s>
  <dataValidations count="5">
    <dataValidation allowBlank="1" showInputMessage="1" showErrorMessage="1" prompt="Выберите виды деятельности, выполнив двойной щелчок левой кнопки мыши по ячейке." sqref="G13:G52 G64:G88 G90:G104 G106:G120" xr:uid="{00000000-0002-0000-0400-000000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9:N81 N84:N86 N69:N71 N74:N76 N48:N50 N90:N92 N95:N97 N100:N102 N111:N113 N106:N108 N116:N118" xr:uid="{00000000-0002-0000-0400-000001000000}">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9:J70 R69:R70 V69:W69 J79:J80 R79:R80 V79:W79 J74:J75 R74:R75 V74:W74 J84:J85 R84:R85 V84:W84 J48:J49 R48:R49 V48:W48 J90:J91 R90:R91 V90:W90 J95:J96 R95:R96 V95:W95 J100:J101 R100:R101 V100:W100 J111:J112 R111:R112 V111:W111 J106:J107 R106:R107 V106:W106 J116:J117 R116:R117 V116:W116 V64:W64 R64:R65 J64:J65" xr:uid="{00000000-0002-0000-0400-000002000000}">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S64:S65 O64 K64" xr:uid="{00000000-0002-0000-0400-00000300000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4:N66" xr:uid="{00000000-0002-0000-0400-000006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CC7D5-3ADB-59FD-0639-EBEE11E72813}">
  <dimension ref="A1:IV14"/>
  <sheetViews>
    <sheetView showGridLines="0" topLeftCell="D4" zoomScale="90" workbookViewId="0"/>
  </sheetViews>
  <sheetFormatPr defaultColWidth="9.140625" defaultRowHeight="14.25" customHeight="1"/>
  <cols>
    <col min="1" max="1" width="9.140625" style="1905" hidden="1"/>
    <col min="2" max="2" width="9.140625" style="1931" hidden="1"/>
    <col min="3" max="3" width="3.7109375" style="1905" hidden="1" customWidth="1"/>
    <col min="4" max="4" width="3.85546875" style="1921" customWidth="1"/>
    <col min="5" max="5" width="6.28515625" style="1905" customWidth="1"/>
    <col min="6" max="6" width="27.28515625" style="1905" customWidth="1"/>
    <col min="7" max="7" width="16.7109375" style="1905" customWidth="1"/>
    <col min="8" max="8" width="12.7109375" style="1905" customWidth="1"/>
    <col min="9" max="9" width="32.140625" style="1905" customWidth="1"/>
    <col min="10" max="11" width="41.85546875" style="1905" customWidth="1"/>
    <col min="12" max="12" width="89.5703125" style="1905" customWidth="1"/>
    <col min="13" max="13" width="3.7109375" style="1830" customWidth="1"/>
    <col min="14" max="16" width="9.140625" style="1830"/>
    <col min="17" max="17" width="25.7109375" style="1827" customWidth="1"/>
    <col min="18" max="18" width="14.42578125" style="1830" customWidth="1"/>
    <col min="19" max="22" width="9.140625" style="1828"/>
    <col min="23" max="256" width="9.140625" style="1905"/>
  </cols>
  <sheetData>
    <row r="1" spans="1:256" ht="14.25" hidden="1" customHeight="1"/>
    <row r="2" spans="1:256" s="1831" customFormat="1" ht="22.5" hidden="1" customHeight="1">
      <c r="A2" s="748"/>
      <c r="B2" s="1060">
        <v>1</v>
      </c>
      <c r="C2" s="1060"/>
      <c r="D2" s="718"/>
      <c r="E2" s="1394"/>
      <c r="F2" s="1448" t="str">
        <f>IF(ROIV_INFO_NAME="","",ROIV_INFO_NAME)</f>
        <v>ПАО "Юнипро"</v>
      </c>
      <c r="G2" s="1642" t="s">
        <v>24</v>
      </c>
      <c r="H2" s="1447"/>
      <c r="I2" s="1447"/>
      <c r="J2" s="1064"/>
      <c r="K2" s="1064"/>
      <c r="L2" s="148"/>
      <c r="M2" s="1444" t="e">
        <f ca="1">MERGEVALUE(F2)</f>
        <v>#NAME?</v>
      </c>
      <c r="N2" s="437"/>
      <c r="O2" s="437"/>
      <c r="P2" s="426" t="str">
        <f t="array" ref="P2">IF(ISERROR(MATCH(MID(Q2,1,250),MID(note_ter,1,250),0)),"n","y")</f>
        <v>n</v>
      </c>
      <c r="Q2" s="437"/>
      <c r="R2" s="426" t="str">
        <f>G2&amp;"("&amp;L2&amp;")"</f>
        <v>()</v>
      </c>
      <c r="S2" s="1060"/>
      <c r="T2" s="1060"/>
      <c r="U2" s="353"/>
      <c r="V2" s="1060"/>
      <c r="W2" s="1060"/>
      <c r="X2" s="1060"/>
      <c r="Y2" s="355"/>
      <c r="Z2" s="355"/>
      <c r="AA2" s="352"/>
      <c r="AB2" s="352"/>
      <c r="AC2" s="352"/>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c r="BG2" s="352"/>
      <c r="BH2" s="352"/>
      <c r="BI2" s="352"/>
      <c r="BJ2" s="352"/>
      <c r="BK2" s="352"/>
      <c r="BL2" s="352"/>
      <c r="BM2" s="352"/>
      <c r="BN2" s="352"/>
      <c r="BO2" s="352"/>
      <c r="BP2" s="352"/>
      <c r="BQ2" s="352"/>
      <c r="BR2" s="352"/>
      <c r="BS2" s="352"/>
      <c r="BT2" s="352"/>
      <c r="BU2" s="352"/>
      <c r="BV2" s="355"/>
      <c r="BW2" s="355"/>
      <c r="BX2" s="355"/>
      <c r="BY2" s="355"/>
      <c r="BZ2" s="355"/>
      <c r="CA2" s="355"/>
      <c r="CB2" s="355"/>
      <c r="CC2" s="355"/>
      <c r="CD2" s="355"/>
      <c r="CE2" s="355"/>
    </row>
    <row r="3" spans="1:256" s="1820" customFormat="1" ht="5.25" hidden="1" customHeight="1">
      <c r="A3" s="422"/>
      <c r="D3" s="420"/>
      <c r="F3" s="165" t="s">
        <v>82</v>
      </c>
      <c r="G3" s="1645" t="s">
        <v>83</v>
      </c>
      <c r="H3" s="420"/>
      <c r="I3" s="420"/>
      <c r="J3" s="420"/>
      <c r="K3" s="420"/>
      <c r="L3" s="147" t="s">
        <v>84</v>
      </c>
      <c r="M3" s="165" t="s">
        <v>82</v>
      </c>
      <c r="N3" s="165"/>
      <c r="O3" s="165"/>
      <c r="P3" s="165"/>
      <c r="Q3" s="166"/>
      <c r="R3" s="165"/>
      <c r="S3" s="165"/>
      <c r="T3" s="165"/>
      <c r="U3" s="165"/>
      <c r="V3" s="165"/>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Y3" s="147"/>
      <c r="CZ3" s="147"/>
      <c r="DA3" s="147"/>
      <c r="DB3" s="147"/>
      <c r="DC3" s="147"/>
      <c r="DD3" s="147"/>
      <c r="DE3" s="147"/>
      <c r="DF3" s="147"/>
      <c r="DG3" s="147"/>
      <c r="DH3" s="147"/>
      <c r="DI3" s="147"/>
      <c r="DJ3" s="147"/>
      <c r="DK3" s="147"/>
      <c r="DL3" s="147"/>
      <c r="DM3" s="147"/>
      <c r="DN3" s="147"/>
      <c r="DO3" s="147"/>
      <c r="DP3" s="147"/>
      <c r="DQ3" s="147"/>
      <c r="DR3" s="147"/>
      <c r="DS3" s="147"/>
      <c r="DT3" s="147"/>
      <c r="DU3" s="147"/>
      <c r="DV3" s="147"/>
      <c r="DW3" s="147"/>
      <c r="DX3" s="147"/>
      <c r="DY3" s="147"/>
      <c r="DZ3" s="147"/>
      <c r="EA3" s="147"/>
      <c r="EB3" s="147"/>
      <c r="EC3" s="147"/>
      <c r="ED3" s="147"/>
      <c r="EE3" s="147"/>
      <c r="EF3" s="147"/>
      <c r="EG3" s="147"/>
      <c r="EH3" s="147"/>
      <c r="EI3" s="147"/>
      <c r="EJ3" s="147"/>
      <c r="EK3" s="147"/>
      <c r="EL3" s="147"/>
      <c r="EM3" s="147"/>
      <c r="EN3" s="147"/>
      <c r="EO3" s="147"/>
      <c r="EP3" s="147"/>
      <c r="EQ3" s="147"/>
      <c r="ER3" s="147"/>
      <c r="ES3" s="147"/>
      <c r="ET3" s="147"/>
      <c r="EU3" s="147"/>
      <c r="EV3" s="147"/>
      <c r="EW3" s="147"/>
      <c r="EX3" s="147"/>
      <c r="EY3" s="147"/>
      <c r="EZ3" s="147"/>
      <c r="FA3" s="147"/>
      <c r="FB3" s="147"/>
      <c r="FC3" s="147"/>
      <c r="FD3" s="147"/>
      <c r="FE3" s="147"/>
      <c r="FF3" s="147"/>
      <c r="FG3" s="147"/>
      <c r="FH3" s="147"/>
      <c r="FI3" s="147"/>
      <c r="FJ3" s="147"/>
      <c r="FK3" s="147"/>
      <c r="FL3" s="147"/>
      <c r="FM3" s="147"/>
      <c r="FN3" s="147"/>
      <c r="FO3" s="147"/>
      <c r="FP3" s="147"/>
      <c r="FQ3" s="147"/>
      <c r="FR3" s="147"/>
      <c r="FS3" s="147"/>
      <c r="FT3" s="147"/>
      <c r="FU3" s="147"/>
      <c r="FV3" s="147"/>
      <c r="FW3" s="147"/>
      <c r="FX3" s="147"/>
      <c r="FY3" s="147"/>
      <c r="FZ3" s="147"/>
      <c r="GA3" s="147"/>
      <c r="GB3" s="147"/>
      <c r="GC3" s="147"/>
      <c r="GD3" s="147"/>
      <c r="GE3" s="147"/>
      <c r="GF3" s="147"/>
      <c r="GG3" s="147"/>
      <c r="GH3" s="147"/>
      <c r="GI3" s="147"/>
      <c r="GJ3" s="147"/>
      <c r="GK3" s="147"/>
      <c r="GL3" s="147"/>
      <c r="GM3" s="147"/>
      <c r="GN3" s="147"/>
      <c r="GO3" s="147"/>
      <c r="GP3" s="147"/>
      <c r="GQ3" s="147"/>
      <c r="GR3" s="147"/>
      <c r="GS3" s="147"/>
      <c r="GT3" s="147"/>
      <c r="GU3" s="147"/>
      <c r="GV3" s="147"/>
      <c r="GW3" s="147"/>
      <c r="GX3" s="147"/>
      <c r="GY3" s="147"/>
      <c r="GZ3" s="147"/>
      <c r="HA3" s="147"/>
      <c r="HB3" s="147"/>
      <c r="HC3" s="147"/>
      <c r="HD3" s="147"/>
      <c r="HE3" s="147"/>
      <c r="HF3" s="147"/>
      <c r="HG3" s="147"/>
      <c r="HH3" s="147"/>
      <c r="HI3" s="147"/>
      <c r="HJ3" s="147"/>
      <c r="HK3" s="147"/>
      <c r="HL3" s="147"/>
      <c r="HM3" s="147"/>
      <c r="HN3" s="147"/>
      <c r="HO3" s="147"/>
      <c r="HP3" s="147"/>
      <c r="HQ3" s="147"/>
      <c r="HR3" s="147"/>
      <c r="HS3" s="147"/>
      <c r="HT3" s="147"/>
      <c r="HU3" s="147"/>
      <c r="HV3" s="147"/>
      <c r="HW3" s="147"/>
      <c r="HX3" s="147"/>
      <c r="HY3" s="147"/>
      <c r="HZ3" s="147"/>
      <c r="IA3" s="147"/>
      <c r="IB3" s="147"/>
      <c r="IC3" s="147"/>
      <c r="ID3" s="147"/>
      <c r="IE3" s="147"/>
      <c r="IF3" s="147"/>
      <c r="IG3" s="147"/>
      <c r="IH3" s="147"/>
      <c r="II3" s="147"/>
      <c r="IJ3" s="147"/>
      <c r="IK3" s="147"/>
      <c r="IL3" s="147"/>
      <c r="IM3" s="147"/>
      <c r="IN3" s="147"/>
      <c r="IO3" s="147"/>
      <c r="IP3" s="147"/>
      <c r="IQ3" s="147"/>
      <c r="IR3" s="147"/>
      <c r="IS3" s="147"/>
      <c r="IT3" s="147"/>
      <c r="IU3" s="147"/>
      <c r="IV3" s="147"/>
    </row>
    <row r="4" spans="1:256" s="1829" customFormat="1" ht="14.25" customHeight="1">
      <c r="A4" s="1055"/>
      <c r="B4" s="1060"/>
      <c r="C4" s="1055"/>
      <c r="D4" s="1405"/>
      <c r="E4" s="435"/>
      <c r="F4" s="435"/>
      <c r="G4" s="435"/>
      <c r="H4" s="435"/>
      <c r="I4" s="435"/>
      <c r="J4" s="435"/>
      <c r="K4" s="435"/>
      <c r="L4" s="87"/>
      <c r="M4" s="165"/>
      <c r="N4" s="426"/>
      <c r="O4" s="426"/>
      <c r="P4" s="426"/>
      <c r="Q4" s="146"/>
      <c r="R4" s="426"/>
      <c r="S4" s="145"/>
      <c r="T4" s="145"/>
      <c r="U4" s="145"/>
      <c r="V4" s="145"/>
    </row>
    <row r="5" spans="1:256" s="1829" customFormat="1" ht="25.5" customHeight="1">
      <c r="A5" s="1055"/>
      <c r="B5" s="1060"/>
      <c r="C5" s="1055"/>
      <c r="D5" s="1405"/>
      <c r="E5" s="2119"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холодного водоснабжения</v>
      </c>
      <c r="F5" s="2119"/>
      <c r="G5" s="2119"/>
      <c r="H5" s="2119"/>
      <c r="I5" s="2119"/>
      <c r="J5" s="2119"/>
      <c r="K5" s="2119"/>
      <c r="L5" s="511"/>
      <c r="M5" s="165"/>
      <c r="N5" s="426"/>
      <c r="O5" s="426"/>
      <c r="P5" s="426"/>
      <c r="Q5" s="146"/>
      <c r="R5" s="426"/>
      <c r="S5" s="145"/>
      <c r="T5" s="145"/>
      <c r="U5" s="145"/>
      <c r="V5" s="145"/>
    </row>
    <row r="6" spans="1:256" s="1829" customFormat="1" ht="14.25" customHeight="1">
      <c r="A6" s="1055"/>
      <c r="B6" s="1060"/>
      <c r="C6" s="1055"/>
      <c r="D6" s="1405"/>
      <c r="E6" s="435"/>
      <c r="F6" s="88"/>
      <c r="G6" s="88"/>
      <c r="H6" s="88"/>
      <c r="I6" s="88"/>
      <c r="J6" s="88"/>
      <c r="K6" s="88"/>
      <c r="L6" s="89"/>
      <c r="M6" s="426"/>
      <c r="N6" s="426"/>
      <c r="O6" s="426"/>
      <c r="P6" s="426"/>
      <c r="Q6" s="146"/>
      <c r="R6" s="426"/>
      <c r="S6" s="145"/>
      <c r="T6" s="145"/>
      <c r="U6" s="145"/>
      <c r="V6" s="145"/>
    </row>
    <row r="7" spans="1:256" s="1829" customFormat="1" ht="14.25" customHeight="1">
      <c r="A7" s="1055"/>
      <c r="B7" s="1060"/>
      <c r="C7" s="1055"/>
      <c r="D7" s="1405"/>
      <c r="E7" s="2115" t="s">
        <v>289</v>
      </c>
      <c r="F7" s="2120"/>
      <c r="G7" s="2120"/>
      <c r="H7" s="2120"/>
      <c r="I7" s="2120"/>
      <c r="J7" s="2120"/>
      <c r="K7" s="2120"/>
      <c r="L7" s="2429" t="s">
        <v>290</v>
      </c>
      <c r="M7" s="426"/>
      <c r="N7" s="426"/>
      <c r="O7" s="426"/>
      <c r="P7" s="426"/>
      <c r="Q7" s="146"/>
      <c r="R7" s="426"/>
      <c r="S7" s="145"/>
      <c r="T7" s="145"/>
      <c r="U7" s="145"/>
      <c r="V7" s="145"/>
    </row>
    <row r="8" spans="1:256" s="1829" customFormat="1" ht="47.25" customHeight="1">
      <c r="A8" s="1055"/>
      <c r="B8" s="1060"/>
      <c r="C8" s="1055"/>
      <c r="D8" s="1405"/>
      <c r="E8" s="2434" t="s">
        <v>87</v>
      </c>
      <c r="F8" s="2434" t="s">
        <v>1088</v>
      </c>
      <c r="G8" s="2436"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холодного водоснабжения</v>
      </c>
      <c r="H8" s="2437"/>
      <c r="I8" s="2438"/>
      <c r="J8" s="2434"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холодного водоснабжения</v>
      </c>
      <c r="K8" s="2434"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433"/>
      <c r="M8" s="426"/>
      <c r="N8" s="426"/>
      <c r="O8" s="426"/>
      <c r="P8" s="426"/>
      <c r="Q8" s="146"/>
      <c r="R8" s="426"/>
      <c r="S8" s="145"/>
      <c r="T8" s="145"/>
      <c r="U8" s="145"/>
      <c r="V8" s="145"/>
    </row>
    <row r="9" spans="1:256" s="1829" customFormat="1" ht="56.25" customHeight="1">
      <c r="A9" s="1055"/>
      <c r="B9" s="1060"/>
      <c r="C9" s="1055"/>
      <c r="D9" s="1405"/>
      <c r="E9" s="2435"/>
      <c r="F9" s="2435"/>
      <c r="G9" s="1446" t="s">
        <v>1110</v>
      </c>
      <c r="H9" s="1446" t="s">
        <v>1111</v>
      </c>
      <c r="I9" s="1446" t="s">
        <v>1112</v>
      </c>
      <c r="J9" s="2435"/>
      <c r="K9" s="2435"/>
      <c r="L9" s="2430"/>
      <c r="M9" s="426"/>
      <c r="N9" s="426"/>
      <c r="O9" s="426"/>
      <c r="P9" s="426"/>
      <c r="Q9" s="146"/>
      <c r="R9" s="426"/>
      <c r="S9" s="145"/>
      <c r="T9" s="145"/>
      <c r="U9" s="145"/>
      <c r="V9" s="145"/>
    </row>
    <row r="10" spans="1:256" s="1831" customFormat="1" ht="22.5" customHeight="1">
      <c r="A10" s="2118"/>
      <c r="B10" s="1060">
        <v>1</v>
      </c>
      <c r="C10" s="1060"/>
      <c r="D10" s="717"/>
      <c r="E10" s="715">
        <v>1</v>
      </c>
      <c r="F10" s="1448" t="str">
        <f>IF(ROIV_INFO_NAME="","",ROIV_INFO_NAME)</f>
        <v>ПАО "Юнипро"</v>
      </c>
      <c r="G10" s="1642" t="s">
        <v>24</v>
      </c>
      <c r="H10" s="1443"/>
      <c r="I10" s="1443"/>
      <c r="J10" s="1064"/>
      <c r="K10" s="1064"/>
      <c r="L10" s="2431" t="s">
        <v>1113</v>
      </c>
      <c r="M10" s="1444" t="e">
        <f ca="1">MERGEVALUE(F10)</f>
        <v>#NAME?</v>
      </c>
      <c r="N10" s="437"/>
      <c r="O10" s="437"/>
      <c r="P10" s="426" t="str">
        <f t="array" ref="P10">IF(ISERROR(MATCH(MID(Q10,1,250),MID(note_ter,1,250),0)),"n","y")</f>
        <v>n</v>
      </c>
      <c r="Q10" s="437"/>
      <c r="R10" s="42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60"/>
      <c r="T10" s="1060"/>
      <c r="U10" s="353"/>
      <c r="V10" s="1060"/>
      <c r="W10" s="1060"/>
      <c r="X10" s="1060"/>
      <c r="Y10" s="355"/>
      <c r="Z10" s="355"/>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5"/>
      <c r="BW10" s="355"/>
      <c r="BX10" s="355"/>
      <c r="BY10" s="355"/>
      <c r="BZ10" s="355"/>
      <c r="CA10" s="355"/>
      <c r="CB10" s="355"/>
      <c r="CC10" s="355"/>
      <c r="CD10" s="355"/>
      <c r="CE10" s="355"/>
    </row>
    <row r="11" spans="1:256" s="1831" customFormat="1" ht="15" customHeight="1">
      <c r="A11" s="2118"/>
      <c r="B11" s="1060"/>
      <c r="C11" s="346"/>
      <c r="D11" s="718"/>
      <c r="E11" s="354"/>
      <c r="F11" s="350" t="s">
        <v>1114</v>
      </c>
      <c r="G11" s="108"/>
      <c r="H11" s="108"/>
      <c r="I11" s="108"/>
      <c r="J11" s="108"/>
      <c r="K11" s="108"/>
      <c r="L11" s="2432"/>
      <c r="M11" s="1445"/>
      <c r="N11" s="437"/>
      <c r="O11" s="437"/>
      <c r="P11" s="437"/>
      <c r="Q11" s="426"/>
      <c r="R11" s="437"/>
      <c r="S11" s="1060"/>
      <c r="T11" s="1060"/>
      <c r="U11" s="353"/>
      <c r="V11" s="1060"/>
      <c r="W11" s="1060"/>
      <c r="X11" s="1060"/>
      <c r="Y11" s="355"/>
      <c r="Z11" s="355"/>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5"/>
      <c r="BW11" s="355"/>
      <c r="BX11" s="355"/>
      <c r="BY11" s="355"/>
      <c r="BZ11" s="355"/>
      <c r="CA11" s="355"/>
      <c r="CB11" s="355"/>
      <c r="CC11" s="355"/>
      <c r="CD11" s="355"/>
      <c r="CE11" s="355"/>
    </row>
    <row r="12" spans="1:256" s="1829" customFormat="1" ht="21" customHeight="1">
      <c r="A12" s="1055"/>
      <c r="B12" s="1060"/>
      <c r="C12" s="1055"/>
      <c r="D12" s="382"/>
      <c r="E12" s="101"/>
      <c r="F12" s="101"/>
      <c r="G12" s="101"/>
      <c r="H12" s="101"/>
      <c r="I12" s="101"/>
      <c r="J12" s="101"/>
      <c r="K12" s="101"/>
      <c r="L12" s="101"/>
      <c r="M12" s="426"/>
      <c r="N12" s="426"/>
      <c r="O12" s="426"/>
      <c r="P12" s="426"/>
      <c r="Q12" s="146"/>
      <c r="R12" s="426"/>
      <c r="S12" s="145"/>
      <c r="T12" s="145"/>
      <c r="U12" s="145"/>
      <c r="V12" s="145"/>
    </row>
    <row r="13" spans="1:256" s="1829" customFormat="1" ht="14.25" customHeight="1">
      <c r="A13" s="1055"/>
      <c r="B13" s="1060"/>
      <c r="C13" s="1055"/>
      <c r="D13" s="382"/>
      <c r="E13" s="1055"/>
      <c r="F13" s="1055"/>
      <c r="G13" s="1055"/>
      <c r="H13" s="1055"/>
      <c r="I13" s="1055"/>
      <c r="J13" s="1055"/>
      <c r="K13" s="1055"/>
      <c r="L13" s="1055"/>
      <c r="M13" s="426"/>
      <c r="N13" s="426"/>
      <c r="O13" s="426"/>
      <c r="P13" s="426"/>
      <c r="Q13" s="146"/>
      <c r="R13" s="426"/>
      <c r="S13" s="145"/>
      <c r="T13" s="145"/>
      <c r="U13" s="145"/>
      <c r="V13" s="145"/>
    </row>
    <row r="14" spans="1:256" s="1829" customFormat="1" ht="0.75" customHeight="1">
      <c r="A14" s="1055"/>
      <c r="B14" s="1060"/>
      <c r="C14" s="1055"/>
      <c r="D14" s="382"/>
      <c r="E14" s="1055"/>
      <c r="F14" s="1055"/>
      <c r="G14" s="1055"/>
      <c r="H14" s="1055"/>
      <c r="I14" s="1055"/>
      <c r="J14" s="1055"/>
      <c r="K14" s="1055"/>
      <c r="L14" s="1055"/>
      <c r="M14" s="426"/>
      <c r="N14" s="426"/>
      <c r="O14" s="426"/>
      <c r="P14" s="426"/>
      <c r="Q14" s="146"/>
      <c r="R14" s="426"/>
      <c r="S14" s="145"/>
      <c r="T14" s="145"/>
      <c r="U14" s="145"/>
      <c r="V14" s="145"/>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xr:uid="{00000000-0002-0000-31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100-000001000000}"/>
    <dataValidation type="textLength" allowBlank="1" showInputMessage="1" showErrorMessage="1" sqref="H2:I3 H10:I10" xr:uid="{00000000-0002-0000-3100-000002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ED7BA-8323-104E-9E13-8A4DBC5182E3}">
  <dimension ref="A1:IY16"/>
  <sheetViews>
    <sheetView showGridLines="0" topLeftCell="D5" zoomScale="90" workbookViewId="0"/>
  </sheetViews>
  <sheetFormatPr defaultColWidth="9.140625" defaultRowHeight="14.25" customHeight="1"/>
  <cols>
    <col min="1" max="1" width="9.140625" style="1905" hidden="1"/>
    <col min="2" max="2" width="9.140625" style="1931" hidden="1"/>
    <col min="3" max="3" width="3.7109375" style="1905" hidden="1" customWidth="1"/>
    <col min="4" max="4" width="3.85546875" style="1921" customWidth="1"/>
    <col min="5" max="5" width="10.140625" style="1905" customWidth="1"/>
    <col min="6" max="6" width="6.28515625" style="1905" customWidth="1"/>
    <col min="7" max="7" width="27.28515625" style="1905" customWidth="1"/>
    <col min="8" max="8" width="29.28515625" style="1905" customWidth="1"/>
    <col min="9" max="9" width="25.42578125" style="1905" customWidth="1"/>
    <col min="10" max="10" width="5.5703125" style="1905" customWidth="1"/>
    <col min="11" max="11" width="6.5703125" style="1905" customWidth="1"/>
    <col min="12" max="12" width="41.85546875" style="1905" customWidth="1"/>
    <col min="13" max="13" width="42.42578125" style="1905" customWidth="1"/>
    <col min="14" max="14" width="41.5703125" style="1905" customWidth="1"/>
    <col min="15" max="15" width="64.140625" style="1905" customWidth="1"/>
    <col min="16" max="16" width="3.7109375" style="1830" customWidth="1"/>
    <col min="17" max="19" width="9.140625" style="1830"/>
    <col min="20" max="20" width="25.7109375" style="1827" customWidth="1"/>
    <col min="21" max="21" width="14.42578125" style="1830" customWidth="1"/>
    <col min="22" max="25" width="9.140625" style="1828"/>
    <col min="26" max="259" width="9.140625" style="1905"/>
  </cols>
  <sheetData>
    <row r="1" spans="1:259" ht="14.25" hidden="1" customHeight="1"/>
    <row r="2" spans="1:259" s="1831" customFormat="1" ht="22.5" hidden="1" customHeight="1">
      <c r="A2" s="422"/>
      <c r="B2" s="1060">
        <v>1</v>
      </c>
      <c r="C2" s="1060"/>
      <c r="D2" s="718"/>
      <c r="E2" s="2143"/>
      <c r="F2" s="2143">
        <v>1</v>
      </c>
      <c r="G2" s="2447" t="str">
        <f>IF(region_name="","",region_name)</f>
        <v>Красноярский край</v>
      </c>
      <c r="H2" s="2448"/>
      <c r="I2" s="2449"/>
      <c r="J2" s="401"/>
      <c r="K2" s="1394">
        <v>1</v>
      </c>
      <c r="L2" s="1064"/>
      <c r="M2" s="1064"/>
      <c r="N2" s="1064"/>
      <c r="O2" s="1064"/>
      <c r="P2" s="1444" t="e">
        <f ca="1">MERGEVALUE(G2)</f>
        <v>#NAME?</v>
      </c>
      <c r="Q2" s="437"/>
      <c r="R2" s="437"/>
      <c r="S2" s="426" t="str">
        <f t="array" ref="S2">IF(ISERROR(MATCH(MID(T2,1,250),MID(note_ter,1,250),0)),"n","y")</f>
        <v>n</v>
      </c>
      <c r="T2" s="437"/>
      <c r="U2" s="426"/>
      <c r="V2" s="1060"/>
      <c r="W2" s="1060"/>
      <c r="X2" s="353"/>
      <c r="Y2" s="1060"/>
      <c r="Z2" s="1060"/>
      <c r="AA2" s="1060"/>
      <c r="AB2" s="355"/>
      <c r="AC2" s="355"/>
      <c r="AD2" s="352"/>
      <c r="AE2" s="352"/>
      <c r="AF2" s="352"/>
      <c r="AG2" s="352"/>
      <c r="AH2" s="352"/>
      <c r="AI2" s="352"/>
      <c r="AJ2" s="352"/>
      <c r="AK2" s="352"/>
      <c r="AL2" s="352"/>
      <c r="AM2" s="352"/>
      <c r="AN2" s="352"/>
      <c r="AO2" s="352"/>
      <c r="AP2" s="352"/>
      <c r="AQ2" s="352"/>
      <c r="AR2" s="352"/>
      <c r="AS2" s="352"/>
      <c r="AT2" s="352"/>
      <c r="AU2" s="352"/>
      <c r="AV2" s="352"/>
      <c r="AW2" s="352"/>
      <c r="AX2" s="352"/>
      <c r="AY2" s="352"/>
      <c r="AZ2" s="352"/>
      <c r="BA2" s="352"/>
      <c r="BB2" s="352"/>
      <c r="BC2" s="352"/>
      <c r="BD2" s="352"/>
      <c r="BE2" s="352"/>
      <c r="BF2" s="352"/>
      <c r="BG2" s="352"/>
      <c r="BH2" s="352"/>
      <c r="BI2" s="352"/>
      <c r="BJ2" s="352"/>
      <c r="BK2" s="352"/>
      <c r="BL2" s="352"/>
      <c r="BM2" s="352"/>
      <c r="BN2" s="352"/>
      <c r="BO2" s="352"/>
      <c r="BP2" s="352"/>
      <c r="BQ2" s="352"/>
      <c r="BR2" s="352"/>
      <c r="BS2" s="352"/>
      <c r="BT2" s="352"/>
      <c r="BU2" s="352"/>
      <c r="BV2" s="352"/>
      <c r="BW2" s="352"/>
      <c r="BX2" s="352"/>
      <c r="BY2" s="355"/>
      <c r="BZ2" s="355"/>
      <c r="CA2" s="355"/>
      <c r="CB2" s="355"/>
      <c r="CC2" s="355"/>
      <c r="CD2" s="355"/>
      <c r="CE2" s="355"/>
      <c r="CF2" s="355"/>
      <c r="CG2" s="355"/>
      <c r="CH2" s="355"/>
    </row>
    <row r="3" spans="1:259" s="1831" customFormat="1" ht="22.5" hidden="1" customHeight="1">
      <c r="A3" s="748"/>
      <c r="B3" s="1060"/>
      <c r="C3" s="1060"/>
      <c r="D3" s="718"/>
      <c r="E3" s="2143"/>
      <c r="F3" s="2143"/>
      <c r="G3" s="2447"/>
      <c r="H3" s="2448"/>
      <c r="I3" s="2450"/>
      <c r="J3" s="1453"/>
      <c r="K3" s="1410"/>
      <c r="L3" s="1410" t="s">
        <v>1115</v>
      </c>
      <c r="M3" s="1456"/>
      <c r="N3" s="1456"/>
      <c r="O3" s="1457"/>
      <c r="P3" s="1444"/>
      <c r="Q3" s="437"/>
      <c r="R3" s="437"/>
      <c r="S3" s="426"/>
      <c r="T3" s="437"/>
      <c r="U3" s="426"/>
      <c r="V3" s="1060"/>
      <c r="W3" s="1060"/>
      <c r="X3" s="353"/>
      <c r="Y3" s="1060"/>
      <c r="Z3" s="1060"/>
      <c r="AA3" s="1060"/>
      <c r="AB3" s="355"/>
      <c r="AC3" s="355"/>
      <c r="AD3" s="352"/>
      <c r="AE3" s="352"/>
      <c r="AF3" s="352"/>
      <c r="AG3" s="352"/>
      <c r="AH3" s="352"/>
      <c r="AI3" s="352"/>
      <c r="AJ3" s="352"/>
      <c r="AK3" s="352"/>
      <c r="AL3" s="352"/>
      <c r="AM3" s="352"/>
      <c r="AN3" s="352"/>
      <c r="AO3" s="352"/>
      <c r="AP3" s="352"/>
      <c r="AQ3" s="352"/>
      <c r="AR3" s="352"/>
      <c r="AS3" s="352"/>
      <c r="AT3" s="352"/>
      <c r="AU3" s="352"/>
      <c r="AV3" s="352"/>
      <c r="AW3" s="352"/>
      <c r="AX3" s="352"/>
      <c r="AY3" s="352"/>
      <c r="AZ3" s="352"/>
      <c r="BA3" s="352"/>
      <c r="BB3" s="352"/>
      <c r="BC3" s="352"/>
      <c r="BD3" s="352"/>
      <c r="BE3" s="352"/>
      <c r="BF3" s="352"/>
      <c r="BG3" s="352"/>
      <c r="BH3" s="352"/>
      <c r="BI3" s="352"/>
      <c r="BJ3" s="352"/>
      <c r="BK3" s="352"/>
      <c r="BL3" s="352"/>
      <c r="BM3" s="352"/>
      <c r="BN3" s="352"/>
      <c r="BO3" s="352"/>
      <c r="BP3" s="352"/>
      <c r="BQ3" s="352"/>
      <c r="BR3" s="352"/>
      <c r="BS3" s="352"/>
      <c r="BT3" s="352"/>
      <c r="BU3" s="352"/>
      <c r="BV3" s="352"/>
      <c r="BW3" s="352"/>
      <c r="BX3" s="352"/>
      <c r="BY3" s="355"/>
      <c r="BZ3" s="355"/>
      <c r="CA3" s="355"/>
      <c r="CB3" s="355"/>
      <c r="CC3" s="355"/>
      <c r="CD3" s="355"/>
      <c r="CE3" s="355"/>
      <c r="CF3" s="355"/>
      <c r="CG3" s="355"/>
      <c r="CH3" s="355"/>
    </row>
    <row r="4" spans="1:259" s="1820" customFormat="1" ht="5.25" hidden="1" customHeight="1">
      <c r="A4" s="422"/>
      <c r="D4" s="420"/>
      <c r="G4" s="165" t="s">
        <v>82</v>
      </c>
      <c r="H4" s="420" t="s">
        <v>83</v>
      </c>
      <c r="I4" s="420"/>
      <c r="J4" s="1458"/>
      <c r="K4" s="1458"/>
      <c r="L4" s="1458"/>
      <c r="M4" s="1458"/>
      <c r="N4" s="1458"/>
      <c r="O4" s="1458"/>
      <c r="P4" s="165" t="s">
        <v>82</v>
      </c>
      <c r="Q4" s="165"/>
      <c r="R4" s="165"/>
      <c r="S4" s="165"/>
      <c r="T4" s="166"/>
      <c r="U4" s="165"/>
      <c r="V4" s="165"/>
      <c r="W4" s="165"/>
      <c r="X4" s="165"/>
      <c r="Y4" s="165"/>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c r="CW4" s="147"/>
      <c r="CX4" s="147"/>
      <c r="CY4" s="147"/>
      <c r="CZ4" s="147"/>
      <c r="DA4" s="147"/>
      <c r="DB4" s="147"/>
      <c r="DC4" s="147"/>
      <c r="DD4" s="147"/>
      <c r="DE4" s="147"/>
      <c r="DF4" s="147"/>
      <c r="DG4" s="147"/>
      <c r="DH4" s="147"/>
      <c r="DI4" s="147"/>
      <c r="DJ4" s="147"/>
      <c r="DK4" s="147"/>
      <c r="DL4" s="147"/>
      <c r="DM4" s="147"/>
      <c r="DN4" s="147"/>
      <c r="DO4" s="147"/>
      <c r="DP4" s="147"/>
      <c r="DQ4" s="147"/>
      <c r="DR4" s="147"/>
      <c r="DS4" s="147"/>
      <c r="DT4" s="147"/>
      <c r="DU4" s="147"/>
      <c r="DV4" s="147"/>
      <c r="DW4" s="147"/>
      <c r="DX4" s="147"/>
      <c r="DY4" s="147"/>
      <c r="DZ4" s="147"/>
      <c r="EA4" s="147"/>
      <c r="EB4" s="147"/>
      <c r="EC4" s="147"/>
      <c r="ED4" s="147"/>
      <c r="EE4" s="147"/>
      <c r="EF4" s="147"/>
      <c r="EG4" s="147"/>
      <c r="EH4" s="147"/>
      <c r="EI4" s="147"/>
      <c r="EJ4" s="147"/>
      <c r="EK4" s="147"/>
      <c r="EL4" s="147"/>
      <c r="EM4" s="147"/>
      <c r="EN4" s="147"/>
      <c r="EO4" s="147"/>
      <c r="EP4" s="147"/>
      <c r="EQ4" s="147"/>
      <c r="ER4" s="147"/>
      <c r="ES4" s="147"/>
      <c r="ET4" s="147"/>
      <c r="EU4" s="147"/>
      <c r="EV4" s="147"/>
      <c r="EW4" s="147"/>
      <c r="EX4" s="147"/>
      <c r="EY4" s="147"/>
      <c r="EZ4" s="147"/>
      <c r="FA4" s="147"/>
      <c r="FB4" s="147"/>
      <c r="FC4" s="147"/>
      <c r="FD4" s="147"/>
      <c r="FE4" s="147"/>
      <c r="FF4" s="147"/>
      <c r="FG4" s="147"/>
      <c r="FH4" s="147"/>
      <c r="FI4" s="147"/>
      <c r="FJ4" s="147"/>
      <c r="FK4" s="147"/>
      <c r="FL4" s="147"/>
      <c r="FM4" s="147"/>
      <c r="FN4" s="147"/>
      <c r="FO4" s="147"/>
      <c r="FP4" s="147"/>
      <c r="FQ4" s="147"/>
      <c r="FR4" s="147"/>
      <c r="FS4" s="147"/>
      <c r="FT4" s="147"/>
      <c r="FU4" s="147"/>
      <c r="FV4" s="147"/>
      <c r="FW4" s="147"/>
      <c r="FX4" s="147"/>
      <c r="FY4" s="147"/>
      <c r="FZ4" s="147"/>
      <c r="GA4" s="147"/>
      <c r="GB4" s="147"/>
      <c r="GC4" s="147"/>
      <c r="GD4" s="147"/>
      <c r="GE4" s="147"/>
      <c r="GF4" s="147"/>
      <c r="GG4" s="147"/>
      <c r="GH4" s="147"/>
      <c r="GI4" s="147"/>
      <c r="GJ4" s="147"/>
      <c r="GK4" s="147"/>
      <c r="GL4" s="147"/>
      <c r="GM4" s="147"/>
      <c r="GN4" s="147"/>
      <c r="GO4" s="147"/>
      <c r="GP4" s="147"/>
      <c r="GQ4" s="147"/>
      <c r="GR4" s="147"/>
      <c r="GS4" s="147"/>
      <c r="GT4" s="147"/>
      <c r="GU4" s="147"/>
      <c r="GV4" s="147"/>
      <c r="GW4" s="147"/>
      <c r="GX4" s="147"/>
      <c r="GY4" s="147"/>
      <c r="GZ4" s="147"/>
      <c r="HA4" s="147"/>
      <c r="HB4" s="147"/>
      <c r="HC4" s="147"/>
      <c r="HD4" s="147"/>
      <c r="HE4" s="147"/>
      <c r="HF4" s="147"/>
      <c r="HG4" s="147"/>
      <c r="HH4" s="147"/>
      <c r="HI4" s="147"/>
      <c r="HJ4" s="147"/>
      <c r="HK4" s="147"/>
      <c r="HL4" s="147"/>
      <c r="HM4" s="147"/>
      <c r="HN4" s="147"/>
      <c r="HO4" s="147"/>
      <c r="HP4" s="147"/>
      <c r="HQ4" s="147"/>
      <c r="HR4" s="147"/>
      <c r="HS4" s="147"/>
      <c r="HT4" s="147"/>
      <c r="HU4" s="147"/>
      <c r="HV4" s="147"/>
      <c r="HW4" s="147"/>
      <c r="HX4" s="147"/>
      <c r="HY4" s="147"/>
      <c r="HZ4" s="147"/>
      <c r="IA4" s="147"/>
      <c r="IB4" s="147"/>
      <c r="IC4" s="147"/>
      <c r="ID4" s="147"/>
      <c r="IE4" s="147"/>
      <c r="IF4" s="147"/>
      <c r="IG4" s="147"/>
      <c r="IH4" s="147"/>
      <c r="II4" s="147"/>
      <c r="IJ4" s="147"/>
      <c r="IK4" s="147"/>
      <c r="IL4" s="147"/>
      <c r="IM4" s="147"/>
      <c r="IN4" s="147"/>
      <c r="IO4" s="147"/>
      <c r="IP4" s="147"/>
      <c r="IQ4" s="147"/>
      <c r="IR4" s="147"/>
      <c r="IS4" s="147"/>
      <c r="IT4" s="147"/>
      <c r="IU4" s="147"/>
      <c r="IV4" s="147"/>
      <c r="IW4" s="147"/>
      <c r="IX4" s="147"/>
      <c r="IY4" s="147"/>
    </row>
    <row r="5" spans="1:259" s="1829" customFormat="1" ht="14.25" customHeight="1">
      <c r="A5" s="1055"/>
      <c r="B5" s="1060"/>
      <c r="C5" s="1055"/>
      <c r="D5" s="1405"/>
      <c r="E5" s="435"/>
      <c r="F5" s="435"/>
      <c r="G5" s="435"/>
      <c r="H5" s="435"/>
      <c r="I5" s="435"/>
      <c r="J5" s="435"/>
      <c r="K5" s="435"/>
      <c r="L5" s="435"/>
      <c r="M5" s="435"/>
      <c r="N5" s="435"/>
      <c r="O5" s="435"/>
      <c r="P5" s="165"/>
      <c r="Q5" s="426"/>
      <c r="R5" s="426"/>
      <c r="S5" s="426"/>
      <c r="T5" s="146"/>
      <c r="U5" s="426"/>
      <c r="V5" s="145"/>
      <c r="W5" s="145"/>
      <c r="X5" s="145"/>
      <c r="Y5" s="145"/>
    </row>
    <row r="6" spans="1:259" s="1829" customFormat="1" ht="25.5" customHeight="1">
      <c r="A6" s="1055"/>
      <c r="B6" s="1060"/>
      <c r="C6" s="1055"/>
      <c r="D6" s="1405"/>
      <c r="E6" s="2119" t="s">
        <v>1116</v>
      </c>
      <c r="F6" s="2119"/>
      <c r="G6" s="2119"/>
      <c r="H6" s="2119"/>
      <c r="I6" s="2119"/>
      <c r="J6" s="2119"/>
      <c r="K6" s="2119"/>
      <c r="L6" s="2119"/>
      <c r="M6" s="2119"/>
      <c r="N6" s="2119"/>
      <c r="O6" s="2119"/>
      <c r="P6" s="165"/>
      <c r="Q6" s="426"/>
      <c r="R6" s="426"/>
      <c r="S6" s="426"/>
      <c r="T6" s="146"/>
      <c r="U6" s="426"/>
      <c r="V6" s="145"/>
      <c r="W6" s="145"/>
      <c r="X6" s="145"/>
      <c r="Y6" s="145"/>
    </row>
    <row r="7" spans="1:259" s="1829" customFormat="1" ht="14.25" customHeight="1">
      <c r="A7" s="1055"/>
      <c r="B7" s="1060"/>
      <c r="C7" s="1055"/>
      <c r="D7" s="1405"/>
      <c r="E7" s="435"/>
      <c r="F7" s="435"/>
      <c r="G7" s="88"/>
      <c r="H7" s="88"/>
      <c r="I7" s="88"/>
      <c r="J7" s="88"/>
      <c r="K7" s="88"/>
      <c r="L7" s="88"/>
      <c r="M7" s="88"/>
      <c r="N7" s="88"/>
      <c r="O7" s="88"/>
      <c r="P7" s="426"/>
      <c r="Q7" s="426"/>
      <c r="R7" s="426"/>
      <c r="S7" s="426"/>
      <c r="T7" s="146"/>
      <c r="U7" s="426"/>
      <c r="V7" s="145"/>
      <c r="W7" s="145"/>
      <c r="X7" s="145"/>
      <c r="Y7" s="145"/>
    </row>
    <row r="8" spans="1:259" s="2068" customFormat="1" ht="42.75" customHeight="1">
      <c r="A8" s="1379"/>
      <c r="B8" s="1388"/>
      <c r="C8" s="1379"/>
      <c r="D8" s="1405"/>
      <c r="E8" s="1466" t="s">
        <v>290</v>
      </c>
      <c r="F8" s="1466"/>
      <c r="G8" s="1467" t="s">
        <v>294</v>
      </c>
      <c r="H8" s="1467" t="s">
        <v>1117</v>
      </c>
      <c r="I8" s="1467" t="s">
        <v>298</v>
      </c>
      <c r="J8" s="2442"/>
      <c r="K8" s="2443"/>
      <c r="L8" s="2444"/>
      <c r="M8" s="1467" t="s">
        <v>1118</v>
      </c>
      <c r="N8" s="1467" t="s">
        <v>1119</v>
      </c>
      <c r="O8" s="1467" t="s">
        <v>1120</v>
      </c>
      <c r="P8" s="1459"/>
      <c r="Q8" s="1459"/>
      <c r="R8" s="1459"/>
      <c r="S8" s="1459"/>
      <c r="T8" s="1460"/>
      <c r="U8" s="1459"/>
      <c r="V8" s="1461"/>
      <c r="W8" s="1461"/>
      <c r="X8" s="1461"/>
      <c r="Y8" s="1461"/>
    </row>
    <row r="9" spans="1:259" s="1829" customFormat="1" ht="47.25" customHeight="1">
      <c r="A9" s="1055"/>
      <c r="B9" s="1060"/>
      <c r="C9" s="1055"/>
      <c r="D9" s="1405"/>
      <c r="E9" s="2249" t="s">
        <v>289</v>
      </c>
      <c r="F9" s="2435" t="s">
        <v>87</v>
      </c>
      <c r="G9" s="2435" t="s">
        <v>293</v>
      </c>
      <c r="H9" s="2435" t="s">
        <v>1121</v>
      </c>
      <c r="I9" s="2435"/>
      <c r="J9" s="2435" t="s">
        <v>1122</v>
      </c>
      <c r="K9" s="2435"/>
      <c r="L9" s="2435"/>
      <c r="M9" s="2435" t="s">
        <v>1123</v>
      </c>
      <c r="N9" s="2435" t="s">
        <v>1124</v>
      </c>
      <c r="O9" s="2435"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тарифов в сфере холодного водоснабжения в случае, если региональный государственный контроль (надзор) в области регулирования тарифов в сфере холодного водоснабжения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 (раскрывается исполнительным органом субъекта Российской Федерации в области государственного регулирования тарифов)</v>
      </c>
      <c r="P9" s="426"/>
      <c r="Q9" s="426"/>
      <c r="R9" s="426"/>
      <c r="S9" s="426"/>
      <c r="T9" s="146"/>
      <c r="U9" s="426"/>
      <c r="V9" s="145"/>
      <c r="W9" s="145"/>
      <c r="X9" s="145"/>
      <c r="Y9" s="145"/>
    </row>
    <row r="10" spans="1:259" s="1829" customFormat="1" ht="63.75" customHeight="1">
      <c r="A10" s="1055"/>
      <c r="B10" s="1060"/>
      <c r="C10" s="1055"/>
      <c r="D10" s="1405"/>
      <c r="E10" s="2143"/>
      <c r="F10" s="2441"/>
      <c r="G10" s="2441"/>
      <c r="H10" s="93" t="s">
        <v>1125</v>
      </c>
      <c r="I10" s="93" t="s">
        <v>297</v>
      </c>
      <c r="J10" s="2434"/>
      <c r="K10" s="2434"/>
      <c r="L10" s="2441"/>
      <c r="M10" s="2441"/>
      <c r="N10" s="2441"/>
      <c r="O10" s="2441"/>
      <c r="P10" s="426"/>
      <c r="Q10" s="426"/>
      <c r="R10" s="426"/>
      <c r="S10" s="426"/>
      <c r="T10" s="146"/>
      <c r="U10" s="426"/>
      <c r="V10" s="145"/>
      <c r="W10" s="145"/>
      <c r="X10" s="145"/>
      <c r="Y10" s="145"/>
    </row>
    <row r="11" spans="1:259" s="1831" customFormat="1" ht="22.5" customHeight="1">
      <c r="A11" s="2118">
        <v>26379339</v>
      </c>
      <c r="B11" s="1060">
        <v>1</v>
      </c>
      <c r="C11" s="1060"/>
      <c r="D11" s="718"/>
      <c r="E11" s="2249"/>
      <c r="F11" s="2249">
        <v>1</v>
      </c>
      <c r="G11" s="2439" t="str">
        <f>IF(region_name="","",region_name)</f>
        <v>Красноярский край</v>
      </c>
      <c r="H11" s="2440"/>
      <c r="I11" s="2445"/>
      <c r="J11" s="401"/>
      <c r="K11" s="1394">
        <v>1</v>
      </c>
      <c r="L11" s="1468"/>
      <c r="M11" s="1455"/>
      <c r="N11" s="1455"/>
      <c r="O11" s="1454"/>
      <c r="P11" s="1444" t="e">
        <f ca="1">MERGEVALUE(G11)</f>
        <v>#NAME?</v>
      </c>
      <c r="Q11" s="437"/>
      <c r="R11" s="437"/>
      <c r="S11" s="426" t="str">
        <f t="array" ref="S11">IF(ISERROR(MATCH(MID(T11,1,250),MID(note_ter,1,250),0)),"n","y")</f>
        <v>n</v>
      </c>
      <c r="T11" s="437"/>
      <c r="U11" s="426"/>
      <c r="V11" s="1060"/>
      <c r="W11" s="1060"/>
      <c r="X11" s="353"/>
      <c r="Y11" s="1060"/>
      <c r="Z11" s="1060"/>
      <c r="AA11" s="1060"/>
      <c r="AB11" s="355"/>
      <c r="AC11" s="355"/>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2"/>
      <c r="BW11" s="352"/>
      <c r="BX11" s="352"/>
      <c r="BY11" s="355"/>
      <c r="BZ11" s="355"/>
      <c r="CA11" s="355"/>
      <c r="CB11" s="355"/>
      <c r="CC11" s="355"/>
      <c r="CD11" s="355"/>
      <c r="CE11" s="355"/>
      <c r="CF11" s="355"/>
      <c r="CG11" s="355"/>
      <c r="CH11" s="355"/>
    </row>
    <row r="12" spans="1:259" s="1831" customFormat="1" ht="22.5" customHeight="1">
      <c r="A12" s="2118"/>
      <c r="B12" s="1060"/>
      <c r="C12" s="1060"/>
      <c r="D12" s="718"/>
      <c r="E12" s="2249"/>
      <c r="F12" s="2249"/>
      <c r="G12" s="2439"/>
      <c r="H12" s="2440"/>
      <c r="I12" s="2446"/>
      <c r="J12" s="1453"/>
      <c r="K12" s="1410"/>
      <c r="L12" s="1410" t="s">
        <v>1115</v>
      </c>
      <c r="M12" s="1456"/>
      <c r="N12" s="1456"/>
      <c r="O12" s="1457"/>
      <c r="P12" s="1444"/>
      <c r="Q12" s="437"/>
      <c r="R12" s="437"/>
      <c r="S12" s="426"/>
      <c r="T12" s="437"/>
      <c r="U12" s="426"/>
      <c r="V12" s="1060"/>
      <c r="W12" s="1060"/>
      <c r="X12" s="353"/>
      <c r="Y12" s="1060"/>
      <c r="Z12" s="1060"/>
      <c r="AA12" s="1060"/>
      <c r="AB12" s="355"/>
      <c r="AC12" s="355"/>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352"/>
      <c r="BO12" s="352"/>
      <c r="BP12" s="352"/>
      <c r="BQ12" s="352"/>
      <c r="BR12" s="352"/>
      <c r="BS12" s="352"/>
      <c r="BT12" s="352"/>
      <c r="BU12" s="352"/>
      <c r="BV12" s="352"/>
      <c r="BW12" s="352"/>
      <c r="BX12" s="352"/>
      <c r="BY12" s="355"/>
      <c r="BZ12" s="355"/>
      <c r="CA12" s="355"/>
      <c r="CB12" s="355"/>
      <c r="CC12" s="355"/>
      <c r="CD12" s="355"/>
      <c r="CE12" s="355"/>
      <c r="CF12" s="355"/>
      <c r="CG12" s="355"/>
      <c r="CH12" s="355"/>
    </row>
    <row r="13" spans="1:259" s="1831" customFormat="1" ht="22.5" customHeight="1">
      <c r="A13" s="2118"/>
      <c r="B13" s="1060"/>
      <c r="C13" s="346"/>
      <c r="D13" s="718"/>
      <c r="E13" s="1450"/>
      <c r="F13" s="1453"/>
      <c r="G13" s="1410" t="s">
        <v>1109</v>
      </c>
      <c r="H13" s="1451"/>
      <c r="I13" s="1451"/>
      <c r="J13" s="108"/>
      <c r="K13" s="108"/>
      <c r="L13" s="108"/>
      <c r="M13" s="108"/>
      <c r="N13" s="108"/>
      <c r="O13" s="1452"/>
      <c r="P13" s="1445"/>
      <c r="Q13" s="437"/>
      <c r="R13" s="437"/>
      <c r="S13" s="437"/>
      <c r="T13" s="426"/>
      <c r="U13" s="437"/>
      <c r="V13" s="1060"/>
      <c r="W13" s="1060"/>
      <c r="X13" s="353"/>
      <c r="Y13" s="1060"/>
      <c r="Z13" s="1060"/>
      <c r="AA13" s="1060"/>
      <c r="AB13" s="355"/>
      <c r="AC13" s="355"/>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c r="BG13" s="352"/>
      <c r="BH13" s="352"/>
      <c r="BI13" s="352"/>
      <c r="BJ13" s="352"/>
      <c r="BK13" s="352"/>
      <c r="BL13" s="352"/>
      <c r="BM13" s="352"/>
      <c r="BN13" s="352"/>
      <c r="BO13" s="352"/>
      <c r="BP13" s="352"/>
      <c r="BQ13" s="352"/>
      <c r="BR13" s="352"/>
      <c r="BS13" s="352"/>
      <c r="BT13" s="352"/>
      <c r="BU13" s="352"/>
      <c r="BV13" s="352"/>
      <c r="BW13" s="352"/>
      <c r="BX13" s="352"/>
      <c r="BY13" s="355"/>
      <c r="BZ13" s="355"/>
      <c r="CA13" s="355"/>
      <c r="CB13" s="355"/>
      <c r="CC13" s="355"/>
      <c r="CD13" s="355"/>
      <c r="CE13" s="355"/>
      <c r="CF13" s="355"/>
      <c r="CG13" s="355"/>
      <c r="CH13" s="355"/>
    </row>
    <row r="14" spans="1:259" s="1829" customFormat="1" ht="21" customHeight="1">
      <c r="A14" s="1055"/>
      <c r="B14" s="1060"/>
      <c r="C14" s="1055"/>
      <c r="D14" s="382"/>
      <c r="E14" s="101"/>
      <c r="F14" s="101"/>
      <c r="G14" s="101"/>
      <c r="H14" s="101"/>
      <c r="I14" s="101"/>
      <c r="J14" s="101"/>
      <c r="K14" s="101"/>
      <c r="L14" s="101"/>
      <c r="M14" s="101"/>
      <c r="N14" s="435"/>
      <c r="O14" s="435"/>
      <c r="P14" s="426"/>
      <c r="Q14" s="426"/>
      <c r="R14" s="426"/>
      <c r="S14" s="426"/>
      <c r="T14" s="146"/>
      <c r="U14" s="426"/>
      <c r="V14" s="145"/>
      <c r="W14" s="145"/>
      <c r="X14" s="145"/>
      <c r="Y14" s="145"/>
    </row>
    <row r="15" spans="1:259" s="1829" customFormat="1" ht="14.25" customHeight="1">
      <c r="A15" s="1055"/>
      <c r="B15" s="1060"/>
      <c r="C15" s="1055"/>
      <c r="D15" s="382"/>
      <c r="E15" s="1055"/>
      <c r="F15" s="1055"/>
      <c r="G15" s="1055"/>
      <c r="H15" s="1055"/>
      <c r="I15" s="1055"/>
      <c r="J15" s="1055"/>
      <c r="K15" s="1055"/>
      <c r="L15" s="1055"/>
      <c r="M15" s="1055"/>
      <c r="N15" s="1055"/>
      <c r="O15" s="1055"/>
      <c r="P15" s="426"/>
      <c r="Q15" s="426"/>
      <c r="R15" s="426"/>
      <c r="S15" s="426"/>
      <c r="T15" s="146"/>
      <c r="U15" s="426"/>
      <c r="V15" s="145"/>
      <c r="W15" s="145"/>
      <c r="X15" s="145"/>
      <c r="Y15" s="145"/>
    </row>
    <row r="16" spans="1:259" s="1829" customFormat="1" ht="0.75" customHeight="1">
      <c r="A16" s="1055"/>
      <c r="B16" s="1060"/>
      <c r="C16" s="1055"/>
      <c r="D16" s="382"/>
      <c r="E16" s="1055"/>
      <c r="F16" s="1055"/>
      <c r="G16" s="1055"/>
      <c r="H16" s="1055"/>
      <c r="I16" s="1055"/>
      <c r="J16" s="1055"/>
      <c r="K16" s="1055"/>
      <c r="L16" s="1055"/>
      <c r="M16" s="1055"/>
      <c r="N16" s="1055"/>
      <c r="O16" s="1055"/>
      <c r="P16" s="426"/>
      <c r="Q16" s="426"/>
      <c r="R16" s="426"/>
      <c r="S16" s="426"/>
      <c r="T16" s="146"/>
      <c r="U16" s="426"/>
      <c r="V16" s="145"/>
      <c r="W16" s="145"/>
      <c r="X16" s="145"/>
      <c r="Y16" s="145"/>
    </row>
  </sheetData>
  <sheetProtection formatColumns="0" formatRows="0" insertRows="0" deleteColumns="0" deleteRows="0" sort="0" autoFilter="0"/>
  <mergeCells count="21">
    <mergeCell ref="E2:E3"/>
    <mergeCell ref="F2:F3"/>
    <mergeCell ref="G2:G3"/>
    <mergeCell ref="H2:H3"/>
    <mergeCell ref="I2:I3"/>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xr:uid="{00000000-0002-0000-3200-000000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0D901-F9DD-60D6-F4DE-EE5798792982}">
  <sheetPr>
    <tabColor rgb="FFCCCCFF"/>
    <pageSetUpPr fitToPage="1"/>
  </sheetPr>
  <dimension ref="A1:L12"/>
  <sheetViews>
    <sheetView showGridLines="0" topLeftCell="C6" zoomScale="90" workbookViewId="0">
      <selection activeCell="C12" sqref="C12"/>
    </sheetView>
  </sheetViews>
  <sheetFormatPr defaultColWidth="9.140625" defaultRowHeight="14.25" customHeight="1"/>
  <cols>
    <col min="1" max="2" width="9.140625" style="2064" hidden="1"/>
    <col min="3" max="3" width="3.7109375" style="2065" customWidth="1"/>
    <col min="4" max="4" width="6.28515625" style="2064" customWidth="1"/>
    <col min="5" max="5" width="94.85546875" style="2064" customWidth="1"/>
    <col min="6" max="12" width="9.140625" style="2064"/>
  </cols>
  <sheetData>
    <row r="1" spans="3:12" ht="14.25" hidden="1" customHeight="1">
      <c r="L1" s="182"/>
    </row>
    <row r="2" spans="3:12" ht="14.25" hidden="1" customHeight="1"/>
    <row r="3" spans="3:12" ht="14.25" hidden="1" customHeight="1"/>
    <row r="4" spans="3:12" ht="14.25" hidden="1" customHeight="1"/>
    <row r="5" spans="3:12" ht="14.25" hidden="1" customHeight="1"/>
    <row r="6" spans="3:12" ht="3" customHeight="1">
      <c r="C6" s="25"/>
      <c r="D6" s="6"/>
      <c r="E6" s="6"/>
    </row>
    <row r="7" spans="3:12" ht="22.5" customHeight="1">
      <c r="C7" s="25"/>
      <c r="D7" s="2119" t="s">
        <v>1126</v>
      </c>
      <c r="E7" s="2119"/>
      <c r="F7" s="185"/>
    </row>
    <row r="8" spans="3:12" ht="3" customHeight="1">
      <c r="C8" s="25"/>
      <c r="D8" s="6"/>
      <c r="E8" s="6"/>
    </row>
    <row r="9" spans="3:12" ht="15.75" customHeight="1">
      <c r="C9" s="25"/>
      <c r="D9" s="36" t="s">
        <v>87</v>
      </c>
      <c r="E9" s="39" t="s">
        <v>276</v>
      </c>
    </row>
    <row r="10" spans="3:12" ht="12" customHeight="1">
      <c r="C10" s="25"/>
      <c r="D10" s="21" t="s">
        <v>108</v>
      </c>
      <c r="E10" s="21" t="s">
        <v>109</v>
      </c>
    </row>
    <row r="11" spans="3:12" ht="15" hidden="1" customHeight="1">
      <c r="C11" s="25"/>
      <c r="D11" s="43">
        <v>0</v>
      </c>
      <c r="E11" s="73"/>
    </row>
    <row r="12" spans="3:12" ht="14.25" customHeight="1">
      <c r="C12" s="25"/>
      <c r="D12" s="40"/>
      <c r="E12" s="38" t="s">
        <v>1086</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3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CDD5E-956C-557F-0DDF-F775086D4956}">
  <sheetPr>
    <tabColor rgb="FFCCCCFF"/>
  </sheetPr>
  <dimension ref="A1:E4"/>
  <sheetViews>
    <sheetView showGridLines="0" zoomScale="90" workbookViewId="0"/>
  </sheetViews>
  <sheetFormatPr defaultColWidth="9.140625" defaultRowHeight="11.25" customHeight="1"/>
  <cols>
    <col min="1" max="1" width="1.7109375" style="2069" customWidth="1"/>
    <col min="2" max="2" width="34.5703125" style="2069" customWidth="1"/>
    <col min="3" max="3" width="85.5703125" style="2069" customWidth="1"/>
    <col min="4" max="4" width="17.7109375" style="2069" customWidth="1"/>
    <col min="5" max="5" width="9.140625" style="2069"/>
  </cols>
  <sheetData>
    <row r="1" spans="2:5" ht="3" customHeight="1"/>
    <row r="2" spans="2:5" ht="22.5" customHeight="1">
      <c r="B2" s="2451" t="s">
        <v>1127</v>
      </c>
      <c r="C2" s="2451"/>
      <c r="D2" s="2451"/>
      <c r="E2" s="186"/>
    </row>
    <row r="3" spans="2:5" ht="3" customHeight="1"/>
    <row r="4" spans="2:5" ht="21.75" customHeight="1">
      <c r="B4" s="317" t="s">
        <v>1128</v>
      </c>
      <c r="C4" s="317" t="s">
        <v>1129</v>
      </c>
      <c r="D4" s="317" t="s">
        <v>1130</v>
      </c>
    </row>
  </sheetData>
  <sheetProtection formatColumns="0" formatRows="0" insertRows="0" deleteColumns="0" deleteRows="0" sort="0" autoFilter="0"/>
  <autoFilter ref="B4:D4" xr:uid="{00000000-0009-0000-0000-000034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5C94F-A2CB-57B4-BB5C-6C97A0AC3D47}">
  <sheetPr>
    <tabColor rgb="FFFFCC99"/>
  </sheetPr>
  <dimension ref="A2:GB207"/>
  <sheetViews>
    <sheetView showGridLines="0" zoomScale="85" workbookViewId="0"/>
  </sheetViews>
  <sheetFormatPr defaultRowHeight="17.100000000000001" customHeight="1"/>
  <cols>
    <col min="1" max="1" width="26.5703125" style="2069" customWidth="1"/>
    <col min="2" max="2" width="10" style="2069" customWidth="1"/>
    <col min="3" max="3" width="9.140625" style="2069"/>
    <col min="4" max="4" width="11.140625" style="2069" customWidth="1"/>
    <col min="5" max="5" width="16.5703125" style="2069" customWidth="1"/>
    <col min="6" max="6" width="16.28515625" style="2069" customWidth="1"/>
    <col min="7" max="7" width="19.140625" style="2069" customWidth="1"/>
    <col min="8" max="11" width="10" style="2069" customWidth="1"/>
    <col min="12" max="12" width="12.7109375" style="2069" customWidth="1"/>
    <col min="13" max="13" width="61.28515625" style="2069" customWidth="1"/>
    <col min="14" max="14" width="10" style="2069" customWidth="1"/>
    <col min="15" max="17" width="23.7109375" style="2069" customWidth="1"/>
    <col min="18" max="18" width="11.7109375" style="2069" customWidth="1"/>
    <col min="19" max="19" width="8.5703125" style="2069" customWidth="1"/>
    <col min="20" max="20" width="11.7109375" style="2069" customWidth="1"/>
    <col min="21" max="21" width="8.5703125" style="2069" customWidth="1"/>
    <col min="22" max="22" width="4.7109375" style="2069" customWidth="1"/>
    <col min="23" max="23" width="115.7109375" style="2069" customWidth="1"/>
    <col min="24" max="24" width="115.28515625" style="2069" customWidth="1"/>
    <col min="25" max="27" width="9.140625" style="2069"/>
    <col min="28" max="28" width="115.7109375" style="2069" customWidth="1"/>
    <col min="29" max="29" width="9.140625" style="2069"/>
    <col min="30" max="90" width="115.7109375" style="2069" customWidth="1"/>
    <col min="91" max="184" width="9.140625" style="2069"/>
  </cols>
  <sheetData>
    <row r="2" spans="1:80" s="2070" customFormat="1" ht="17.25" customHeight="1">
      <c r="A2" s="1725" t="s">
        <v>1131</v>
      </c>
    </row>
    <row r="4" spans="1:80" s="2064" customFormat="1" ht="15" customHeight="1">
      <c r="C4" s="1726"/>
      <c r="D4" s="43"/>
      <c r="E4" s="308"/>
    </row>
    <row r="6" spans="1:80" s="2070" customFormat="1" ht="17.25" customHeight="1">
      <c r="A6" s="1725" t="s">
        <v>1132</v>
      </c>
    </row>
    <row r="8" spans="1:80" s="2064" customFormat="1" ht="17.25" customHeight="1">
      <c r="C8" s="1727"/>
      <c r="D8" s="43"/>
      <c r="E8" s="44"/>
    </row>
    <row r="11" spans="1:80" s="2070" customFormat="1" ht="17.25" customHeight="1">
      <c r="A11" s="1725" t="s">
        <v>1133</v>
      </c>
    </row>
    <row r="13" spans="1:80" s="2071" customFormat="1" ht="15" customHeight="1">
      <c r="A13" s="2237">
        <v>1</v>
      </c>
      <c r="B13" s="1060"/>
      <c r="C13" s="718" t="s">
        <v>477</v>
      </c>
      <c r="D13" s="1728"/>
      <c r="E13" s="1715">
        <f>A13</f>
        <v>1</v>
      </c>
      <c r="F13" s="721"/>
      <c r="G13" s="465" t="str">
        <f>"Территория "&amp;E13</f>
        <v>Территория 1</v>
      </c>
      <c r="H13" s="709"/>
      <c r="I13" s="709"/>
      <c r="J13" s="706"/>
      <c r="K13" s="1536"/>
      <c r="L13" s="1536"/>
      <c r="M13" s="1536"/>
      <c r="N13" s="146"/>
      <c r="O13" s="1536"/>
      <c r="P13" s="145"/>
      <c r="Q13" s="145"/>
      <c r="R13" s="145"/>
      <c r="S13" s="145"/>
    </row>
    <row r="14" spans="1:80" s="1831" customFormat="1" ht="15" customHeight="1">
      <c r="A14" s="2237"/>
      <c r="B14" s="1060">
        <v>1</v>
      </c>
      <c r="C14" s="1060"/>
      <c r="D14" s="717"/>
      <c r="E14" s="1723" t="str">
        <f>A13&amp;"."&amp;B14</f>
        <v>1.1</v>
      </c>
      <c r="F14" s="720">
        <f>$F$20</f>
        <v>0</v>
      </c>
      <c r="G14" s="710"/>
      <c r="H14" s="710"/>
      <c r="I14" s="708"/>
      <c r="J14" s="1536"/>
      <c r="K14" s="1548"/>
      <c r="L14" s="1548"/>
      <c r="M14" s="1536" t="str">
        <f t="array" ref="M14">IF(ISERROR(MATCH(MID(N14,1,250),MID(note_ter,1,250),0)),"n","y")</f>
        <v>n</v>
      </c>
      <c r="N14" s="1548"/>
      <c r="O14" s="1536" t="str">
        <f>H14&amp;"("&amp;I14&amp;")"</f>
        <v>()</v>
      </c>
      <c r="P14" s="1060"/>
      <c r="Q14" s="1060"/>
      <c r="R14" s="353"/>
      <c r="S14" s="1060"/>
      <c r="T14" s="1060"/>
      <c r="U14" s="1060"/>
      <c r="V14" s="355"/>
      <c r="W14" s="355"/>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2"/>
      <c r="BB14" s="352"/>
      <c r="BC14" s="352"/>
      <c r="BD14" s="352"/>
      <c r="BE14" s="352"/>
      <c r="BF14" s="352"/>
      <c r="BG14" s="352"/>
      <c r="BH14" s="352"/>
      <c r="BI14" s="352"/>
      <c r="BJ14" s="352"/>
      <c r="BK14" s="352"/>
      <c r="BL14" s="352"/>
      <c r="BM14" s="352"/>
      <c r="BN14" s="352"/>
      <c r="BO14" s="352"/>
      <c r="BP14" s="352"/>
      <c r="BQ14" s="352"/>
      <c r="BR14" s="352"/>
      <c r="BS14" s="355"/>
      <c r="BT14" s="355"/>
      <c r="BU14" s="355"/>
      <c r="BV14" s="355"/>
      <c r="BW14" s="355"/>
      <c r="BX14" s="355"/>
      <c r="BY14" s="355"/>
      <c r="BZ14" s="355"/>
      <c r="CA14" s="355"/>
      <c r="CB14" s="355"/>
    </row>
    <row r="15" spans="1:80" s="1831" customFormat="1" ht="15" customHeight="1">
      <c r="A15" s="2237"/>
      <c r="B15" s="1060"/>
      <c r="C15" s="346"/>
      <c r="D15" s="718"/>
      <c r="E15" s="354"/>
      <c r="F15" s="98"/>
      <c r="G15" s="349" t="s">
        <v>101</v>
      </c>
      <c r="H15" s="108"/>
      <c r="I15" s="357"/>
      <c r="J15" s="1548"/>
      <c r="K15" s="1548"/>
      <c r="L15" s="1548"/>
      <c r="M15" s="1548"/>
      <c r="N15" s="1536"/>
      <c r="O15" s="1548"/>
      <c r="P15" s="1060"/>
      <c r="Q15" s="1060"/>
      <c r="R15" s="353"/>
      <c r="S15" s="1060"/>
      <c r="T15" s="1060"/>
      <c r="U15" s="1060"/>
      <c r="V15" s="355"/>
      <c r="W15" s="355"/>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2"/>
      <c r="BJ15" s="352"/>
      <c r="BK15" s="352"/>
      <c r="BL15" s="352"/>
      <c r="BM15" s="352"/>
      <c r="BN15" s="352"/>
      <c r="BO15" s="352"/>
      <c r="BP15" s="352"/>
      <c r="BQ15" s="352"/>
      <c r="BR15" s="352"/>
      <c r="BS15" s="355"/>
      <c r="BT15" s="355"/>
      <c r="BU15" s="355"/>
      <c r="BV15" s="355"/>
      <c r="BW15" s="355"/>
      <c r="BX15" s="355"/>
      <c r="BY15" s="355"/>
      <c r="BZ15" s="355"/>
      <c r="CA15" s="355"/>
      <c r="CB15" s="355"/>
    </row>
    <row r="17" spans="1:80" s="2070" customFormat="1" ht="17.25" customHeight="1">
      <c r="A17" s="1725" t="s">
        <v>1134</v>
      </c>
    </row>
    <row r="19" spans="1:80" s="2021" customFormat="1" ht="15" customHeight="1">
      <c r="A19" s="1791"/>
      <c r="B19" s="1282">
        <v>1</v>
      </c>
      <c r="C19" s="1282"/>
      <c r="D19" s="717" t="s">
        <v>477</v>
      </c>
      <c r="E19" s="1787"/>
      <c r="F19" s="1792">
        <f>$F$20</f>
        <v>0</v>
      </c>
      <c r="G19" s="1796"/>
      <c r="H19" s="1796"/>
      <c r="I19" s="1794"/>
      <c r="J19" s="1536"/>
      <c r="K19" s="1548"/>
      <c r="L19" s="1548"/>
      <c r="M19" s="1536" t="str">
        <f t="array" ref="M19">IF(ISERROR(MATCH(MID(N19,1,250),MID(note_ter,1,250),0)),"n","y")</f>
        <v>n</v>
      </c>
      <c r="N19" s="1548"/>
      <c r="O19" s="1536" t="str">
        <f>H19&amp;"("&amp;I19&amp;")"</f>
        <v>()</v>
      </c>
      <c r="P19" s="1282"/>
      <c r="Q19" s="1282"/>
      <c r="R19" s="353"/>
      <c r="S19" s="1282"/>
      <c r="T19" s="1282"/>
      <c r="U19" s="1282"/>
      <c r="V19" s="750"/>
      <c r="W19" s="750"/>
      <c r="X19" s="548"/>
      <c r="Y19" s="548"/>
      <c r="Z19" s="548"/>
      <c r="AA19" s="548"/>
      <c r="AB19" s="548"/>
      <c r="AC19" s="548"/>
      <c r="AD19" s="548"/>
      <c r="AE19" s="548"/>
      <c r="AF19" s="548"/>
      <c r="AG19" s="548"/>
      <c r="AH19" s="548"/>
      <c r="AI19" s="548"/>
      <c r="AJ19" s="548"/>
      <c r="AK19" s="548"/>
      <c r="AL19" s="548"/>
      <c r="AM19" s="548"/>
      <c r="AN19" s="548"/>
      <c r="AO19" s="548"/>
      <c r="AP19" s="548"/>
      <c r="AQ19" s="548"/>
      <c r="AR19" s="548"/>
      <c r="AS19" s="548"/>
      <c r="AT19" s="548"/>
      <c r="AU19" s="548"/>
      <c r="AV19" s="548"/>
      <c r="AW19" s="548"/>
      <c r="AX19" s="548"/>
      <c r="AY19" s="548"/>
      <c r="AZ19" s="548"/>
      <c r="BA19" s="548"/>
      <c r="BB19" s="548"/>
      <c r="BC19" s="548"/>
      <c r="BD19" s="548"/>
      <c r="BE19" s="548"/>
      <c r="BF19" s="548"/>
      <c r="BG19" s="548"/>
      <c r="BH19" s="548"/>
      <c r="BI19" s="548"/>
      <c r="BJ19" s="548"/>
      <c r="BK19" s="548"/>
      <c r="BL19" s="548"/>
      <c r="BM19" s="548"/>
      <c r="BN19" s="548"/>
      <c r="BO19" s="548"/>
      <c r="BP19" s="548"/>
      <c r="BQ19" s="548"/>
      <c r="BR19" s="548"/>
      <c r="BS19" s="750"/>
      <c r="BT19" s="750"/>
      <c r="BU19" s="750"/>
      <c r="BV19" s="750"/>
      <c r="BW19" s="750"/>
      <c r="BX19" s="750"/>
      <c r="BY19" s="750"/>
      <c r="BZ19" s="750"/>
      <c r="CA19" s="750"/>
      <c r="CB19" s="750"/>
    </row>
    <row r="21" spans="1:80" s="1831" customFormat="1" ht="15" customHeight="1">
      <c r="A21" s="1725" t="s">
        <v>1135</v>
      </c>
      <c r="B21" s="1725"/>
      <c r="C21" s="1725"/>
      <c r="D21" s="1725"/>
      <c r="E21" s="1725"/>
      <c r="F21" s="1725"/>
      <c r="G21" s="1725"/>
      <c r="H21" s="1725"/>
      <c r="I21" s="1725"/>
      <c r="J21" s="1725"/>
      <c r="K21" s="1725"/>
      <c r="L21" s="1725"/>
      <c r="M21" s="1725"/>
      <c r="N21" s="1725"/>
      <c r="O21" s="1725"/>
      <c r="P21" s="1725"/>
      <c r="Q21" s="1725"/>
      <c r="R21" s="1725"/>
      <c r="S21" s="1725"/>
      <c r="T21" s="1725"/>
      <c r="U21" s="105"/>
      <c r="V21" s="1725"/>
      <c r="W21" s="1725"/>
    </row>
    <row r="22" spans="1:80" s="1831" customFormat="1" ht="15" customHeight="1">
      <c r="U22" s="106"/>
    </row>
    <row r="23" spans="1:80" s="2072" customFormat="1" ht="15" customHeight="1">
      <c r="A23" s="356"/>
      <c r="B23" s="356"/>
      <c r="C23" s="1638" t="s">
        <v>477</v>
      </c>
      <c r="D23" s="2125" t="s">
        <v>108</v>
      </c>
      <c r="E23" s="2126"/>
      <c r="F23" s="2124" t="s">
        <v>56</v>
      </c>
      <c r="G23" s="2487"/>
      <c r="H23" s="2143">
        <v>1</v>
      </c>
      <c r="I23" s="2489" t="str">
        <f>IF(U23="","",INDEX(TERRITORY_MR_LIST,MATCH(U23,TERRITORY_LIST_ID,0)))</f>
        <v/>
      </c>
      <c r="J23" s="2124" t="s">
        <v>56</v>
      </c>
      <c r="K23" s="749"/>
      <c r="L23" s="1692" t="s">
        <v>108</v>
      </c>
      <c r="M23" s="525"/>
      <c r="N23" s="526"/>
      <c r="O23" s="526"/>
      <c r="P23" s="526"/>
      <c r="Q23" s="526"/>
      <c r="R23" s="526"/>
      <c r="S23" s="526"/>
      <c r="T23" s="526"/>
      <c r="U23" s="527"/>
      <c r="V23" s="526"/>
      <c r="W23" s="526"/>
      <c r="X23" s="518"/>
      <c r="Y23" s="518" t="s">
        <v>117</v>
      </c>
      <c r="Z23" s="518">
        <v>1705000</v>
      </c>
      <c r="AA23" s="518"/>
      <c r="AB23" s="518"/>
      <c r="AC23" s="518"/>
      <c r="AD23" s="518"/>
      <c r="AE23" s="518"/>
      <c r="AF23" s="518"/>
      <c r="AG23" s="518"/>
      <c r="AH23" s="518"/>
      <c r="AI23" s="518"/>
      <c r="AJ23" s="518"/>
      <c r="AK23" s="518"/>
      <c r="AL23" s="518"/>
    </row>
    <row r="24" spans="1:80" s="2072" customFormat="1" ht="15" customHeight="1">
      <c r="A24" s="356"/>
      <c r="B24" s="356"/>
      <c r="C24" s="97"/>
      <c r="D24" s="2125"/>
      <c r="E24" s="2127"/>
      <c r="F24" s="2124"/>
      <c r="G24" s="2488"/>
      <c r="H24" s="2143"/>
      <c r="I24" s="2490"/>
      <c r="J24" s="2124"/>
      <c r="K24" s="354"/>
      <c r="L24" s="98"/>
      <c r="M24" s="528" t="s">
        <v>118</v>
      </c>
      <c r="N24" s="526"/>
      <c r="O24" s="526"/>
      <c r="P24" s="526"/>
      <c r="Q24" s="526"/>
      <c r="R24" s="526"/>
      <c r="S24" s="526"/>
      <c r="T24" s="526"/>
      <c r="U24" s="527"/>
      <c r="V24" s="526"/>
      <c r="W24" s="526"/>
      <c r="X24" s="518"/>
      <c r="Y24" s="518"/>
      <c r="Z24" s="518"/>
      <c r="AA24" s="518"/>
      <c r="AB24" s="518"/>
      <c r="AC24" s="518"/>
      <c r="AD24" s="518"/>
      <c r="AE24" s="518"/>
      <c r="AF24" s="518"/>
      <c r="AG24" s="518"/>
      <c r="AH24" s="518"/>
      <c r="AI24" s="518"/>
      <c r="AJ24" s="518"/>
      <c r="AK24" s="518"/>
      <c r="AL24" s="518"/>
    </row>
    <row r="25" spans="1:80" s="2072" customFormat="1" ht="15" customHeight="1">
      <c r="A25" s="356"/>
      <c r="B25" s="356"/>
      <c r="C25" s="97"/>
      <c r="D25" s="2125"/>
      <c r="E25" s="2128"/>
      <c r="F25" s="2124"/>
      <c r="G25" s="354"/>
      <c r="H25" s="98"/>
      <c r="I25" s="505" t="s">
        <v>119</v>
      </c>
      <c r="J25" s="98"/>
      <c r="K25" s="98"/>
      <c r="L25" s="98"/>
      <c r="M25" s="529"/>
      <c r="N25" s="526"/>
      <c r="O25" s="526"/>
      <c r="P25" s="526"/>
      <c r="Q25" s="526"/>
      <c r="R25" s="526"/>
      <c r="S25" s="526"/>
      <c r="T25" s="526"/>
      <c r="U25" s="527"/>
      <c r="V25" s="526"/>
      <c r="W25" s="526"/>
      <c r="X25" s="518"/>
      <c r="Y25" s="518"/>
      <c r="Z25" s="518"/>
      <c r="AA25" s="518"/>
      <c r="AB25" s="518"/>
      <c r="AC25" s="518"/>
      <c r="AD25" s="518"/>
      <c r="AE25" s="518"/>
      <c r="AF25" s="518"/>
      <c r="AG25" s="518"/>
      <c r="AH25" s="518"/>
      <c r="AI25" s="518"/>
      <c r="AJ25" s="518"/>
      <c r="AK25" s="518"/>
      <c r="AL25" s="518"/>
    </row>
    <row r="26" spans="1:80" s="1831" customFormat="1" ht="15" customHeight="1">
      <c r="U26" s="106"/>
    </row>
    <row r="27" spans="1:80" s="1831" customFormat="1" ht="15" customHeight="1">
      <c r="A27" s="1725" t="s">
        <v>1136</v>
      </c>
      <c r="B27" s="1725"/>
      <c r="C27" s="1725"/>
      <c r="D27" s="1725"/>
      <c r="E27" s="1725"/>
      <c r="F27" s="1725"/>
      <c r="G27" s="1725"/>
      <c r="H27" s="1725"/>
      <c r="I27" s="1725"/>
      <c r="J27" s="1725"/>
      <c r="K27" s="1725"/>
      <c r="L27" s="1725"/>
      <c r="M27" s="1725"/>
      <c r="N27" s="1725"/>
      <c r="O27" s="1725"/>
      <c r="P27" s="1725"/>
      <c r="Q27" s="1725"/>
      <c r="R27" s="1725"/>
      <c r="S27" s="1725"/>
      <c r="T27" s="1725"/>
      <c r="U27" s="105"/>
      <c r="V27" s="1725"/>
      <c r="W27" s="1725"/>
    </row>
    <row r="28" spans="1:80" s="1831" customFormat="1" ht="15" customHeight="1">
      <c r="U28" s="106"/>
    </row>
    <row r="29" spans="1:80" s="2072" customFormat="1" ht="15" customHeight="1">
      <c r="A29" s="356"/>
      <c r="B29" s="356"/>
      <c r="C29" s="97"/>
      <c r="D29" s="1729"/>
      <c r="E29" s="1729"/>
      <c r="F29" s="1729"/>
      <c r="G29" s="2491" t="s">
        <v>477</v>
      </c>
      <c r="H29" s="2114">
        <v>1</v>
      </c>
      <c r="I29" s="2492" t="str">
        <f>IF(U29="","",INDEX(TERRITORY_MR_LIST,MATCH(U29,TERRITORY_LIST_ID,0)))</f>
        <v/>
      </c>
      <c r="J29" s="2124" t="s">
        <v>56</v>
      </c>
      <c r="K29" s="749"/>
      <c r="L29" s="1692" t="s">
        <v>108</v>
      </c>
      <c r="M29" s="525"/>
      <c r="N29" s="526"/>
      <c r="O29" s="526"/>
      <c r="P29" s="526"/>
      <c r="Q29" s="526"/>
      <c r="R29" s="526"/>
      <c r="S29" s="526"/>
      <c r="T29" s="526"/>
      <c r="U29" s="527"/>
      <c r="V29" s="526"/>
      <c r="W29" s="526"/>
      <c r="X29" s="518"/>
      <c r="Y29" s="518" t="s">
        <v>117</v>
      </c>
      <c r="Z29" s="518">
        <v>1705000</v>
      </c>
      <c r="AA29" s="518"/>
      <c r="AB29" s="518"/>
      <c r="AC29" s="518"/>
      <c r="AD29" s="518"/>
      <c r="AE29" s="518"/>
      <c r="AF29" s="518"/>
      <c r="AG29" s="518"/>
      <c r="AH29" s="518"/>
      <c r="AI29" s="518"/>
      <c r="AJ29" s="518"/>
      <c r="AK29" s="518"/>
      <c r="AL29" s="518"/>
    </row>
    <row r="30" spans="1:80" s="2072" customFormat="1" ht="15" customHeight="1">
      <c r="A30" s="356"/>
      <c r="B30" s="356"/>
      <c r="C30" s="97"/>
      <c r="D30" s="1729"/>
      <c r="E30" s="1729"/>
      <c r="F30" s="1729"/>
      <c r="G30" s="2491"/>
      <c r="H30" s="2114"/>
      <c r="I30" s="2492"/>
      <c r="J30" s="2124"/>
      <c r="K30" s="354"/>
      <c r="L30" s="98"/>
      <c r="M30" s="528" t="s">
        <v>118</v>
      </c>
      <c r="N30" s="526"/>
      <c r="O30" s="526"/>
      <c r="P30" s="526"/>
      <c r="Q30" s="526"/>
      <c r="R30" s="526"/>
      <c r="S30" s="526"/>
      <c r="T30" s="526"/>
      <c r="U30" s="527"/>
      <c r="V30" s="526"/>
      <c r="W30" s="526"/>
      <c r="X30" s="518"/>
      <c r="Y30" s="518"/>
      <c r="Z30" s="518"/>
      <c r="AA30" s="518"/>
      <c r="AB30" s="518"/>
      <c r="AC30" s="518"/>
      <c r="AD30" s="518"/>
      <c r="AE30" s="518"/>
      <c r="AF30" s="518"/>
      <c r="AG30" s="518"/>
      <c r="AH30" s="518"/>
      <c r="AI30" s="518"/>
      <c r="AJ30" s="518"/>
      <c r="AK30" s="518"/>
      <c r="AL30" s="518"/>
    </row>
    <row r="31" spans="1:80" s="1831" customFormat="1" ht="15" customHeight="1">
      <c r="U31" s="106"/>
    </row>
    <row r="32" spans="1:80" s="1831" customFormat="1" ht="15" customHeight="1">
      <c r="A32" s="1725" t="s">
        <v>1137</v>
      </c>
      <c r="B32" s="1725"/>
      <c r="C32" s="1725"/>
      <c r="D32" s="1725"/>
      <c r="E32" s="1725"/>
      <c r="F32" s="1725"/>
      <c r="G32" s="1725"/>
      <c r="H32" s="1725"/>
      <c r="I32" s="1725"/>
      <c r="J32" s="1725"/>
      <c r="K32" s="1725"/>
      <c r="L32" s="1725"/>
      <c r="M32" s="1725"/>
      <c r="N32" s="1725"/>
      <c r="O32" s="1725"/>
      <c r="P32" s="1725"/>
      <c r="Q32" s="1725"/>
      <c r="R32" s="1725"/>
      <c r="S32" s="1725"/>
      <c r="T32" s="1725"/>
      <c r="U32" s="105"/>
      <c r="V32" s="1725"/>
      <c r="W32" s="1725"/>
    </row>
    <row r="33" spans="1:38" s="1831" customFormat="1" ht="15" customHeight="1">
      <c r="U33" s="106"/>
    </row>
    <row r="34" spans="1:38" s="2072" customFormat="1" ht="15" customHeight="1">
      <c r="A34" s="356"/>
      <c r="B34" s="356"/>
      <c r="C34" s="97"/>
      <c r="D34" s="1729"/>
      <c r="E34" s="1729"/>
      <c r="F34" s="1729"/>
      <c r="G34" s="1729"/>
      <c r="H34" s="1729"/>
      <c r="I34" s="1729"/>
      <c r="J34" s="1729"/>
      <c r="K34" s="1709" t="s">
        <v>477</v>
      </c>
      <c r="L34" s="1639" t="s">
        <v>108</v>
      </c>
      <c r="M34" s="728"/>
      <c r="N34" s="729"/>
      <c r="O34" s="526"/>
      <c r="P34" s="526"/>
      <c r="Q34" s="526"/>
      <c r="R34" s="526"/>
      <c r="S34" s="526"/>
      <c r="T34" s="526"/>
      <c r="U34" s="527"/>
      <c r="V34" s="526"/>
      <c r="W34" s="526"/>
      <c r="X34" s="518"/>
      <c r="Y34" s="518" t="s">
        <v>117</v>
      </c>
      <c r="Z34" s="518">
        <v>1705000</v>
      </c>
      <c r="AA34" s="518"/>
      <c r="AB34" s="518"/>
      <c r="AC34" s="518"/>
      <c r="AD34" s="518"/>
      <c r="AE34" s="518"/>
      <c r="AF34" s="518"/>
      <c r="AG34" s="518"/>
      <c r="AH34" s="518"/>
      <c r="AI34" s="518"/>
      <c r="AJ34" s="518"/>
      <c r="AK34" s="518"/>
      <c r="AL34" s="518"/>
    </row>
    <row r="35" spans="1:38" s="1831" customFormat="1" ht="15" customHeight="1">
      <c r="U35" s="106"/>
    </row>
    <row r="36" spans="1:38" s="1831" customFormat="1" ht="15" customHeight="1">
      <c r="U36" s="106"/>
    </row>
    <row r="37" spans="1:38" s="2070" customFormat="1" ht="11.25" customHeight="1">
      <c r="A37" s="1725" t="s">
        <v>1138</v>
      </c>
    </row>
    <row r="38" spans="1:38" ht="11.25" customHeight="1"/>
    <row r="39" spans="1:38" s="1913" customFormat="1" ht="22.5" customHeight="1">
      <c r="A39" s="1701"/>
      <c r="B39" s="385"/>
      <c r="C39" s="772"/>
      <c r="D39" s="372"/>
      <c r="E39" s="773"/>
      <c r="F39" s="1722"/>
      <c r="G39" s="1730"/>
      <c r="H39" s="402"/>
    </row>
    <row r="40" spans="1:38" ht="11.25" customHeight="1"/>
    <row r="41" spans="1:38" s="2070" customFormat="1" ht="11.25" customHeight="1">
      <c r="A41" s="1725" t="s">
        <v>1139</v>
      </c>
    </row>
    <row r="42" spans="1:38" ht="11.25" customHeight="1"/>
    <row r="43" spans="1:38" s="1913" customFormat="1" ht="22.5" customHeight="1">
      <c r="A43" s="385"/>
      <c r="B43" s="385"/>
      <c r="C43" s="385"/>
      <c r="D43" s="372"/>
      <c r="E43" s="773"/>
      <c r="F43" s="774"/>
      <c r="G43" s="1730"/>
      <c r="H43" s="402"/>
    </row>
    <row r="46" spans="1:38" s="2070" customFormat="1" ht="17.25" customHeight="1">
      <c r="A46" s="1725" t="s">
        <v>1140</v>
      </c>
    </row>
    <row r="48" spans="1:38" s="1927" customFormat="1" ht="18.75" customHeight="1">
      <c r="A48" s="23"/>
      <c r="B48" s="1731"/>
      <c r="C48" s="1731"/>
      <c r="D48" s="1732"/>
      <c r="E48" s="1719"/>
      <c r="F48" s="781">
        <v>13</v>
      </c>
      <c r="G48" s="780"/>
      <c r="H48" s="710"/>
      <c r="I48" s="708"/>
      <c r="J48" s="446" t="s">
        <v>61</v>
      </c>
      <c r="K48" s="1733" t="s">
        <v>24</v>
      </c>
      <c r="L48" s="23"/>
      <c r="M48" s="1548"/>
      <c r="N48" s="1548"/>
      <c r="O48" s="1548"/>
      <c r="P48" s="442" t="s">
        <v>383</v>
      </c>
      <c r="Q48" s="442" t="s">
        <v>384</v>
      </c>
      <c r="R48" s="443" t="s">
        <v>385</v>
      </c>
      <c r="S48" s="1548" t="s">
        <v>386</v>
      </c>
      <c r="T48" s="1548"/>
      <c r="U48" s="1548"/>
      <c r="V48" s="1548"/>
    </row>
    <row r="50" spans="1:45" s="2070" customFormat="1" ht="11.25" customHeight="1">
      <c r="A50" s="1725" t="s">
        <v>1141</v>
      </c>
    </row>
    <row r="52" spans="1:45" s="1908" customFormat="1" ht="14.25" customHeight="1">
      <c r="C52" s="1599"/>
      <c r="D52" s="1779"/>
      <c r="E52" s="1687" t="s">
        <v>24</v>
      </c>
      <c r="F52" s="1778"/>
      <c r="G52" s="769"/>
      <c r="H52" s="1688"/>
      <c r="I52" s="1688"/>
      <c r="J52" s="365"/>
      <c r="K52" s="1773"/>
      <c r="L52" s="364"/>
      <c r="M52" s="1773"/>
      <c r="N52" s="365"/>
      <c r="O52" s="1773"/>
      <c r="P52" s="365"/>
      <c r="Q52" s="1773"/>
      <c r="R52" s="365"/>
      <c r="S52" s="767"/>
      <c r="T52" s="1688"/>
      <c r="U52" s="365"/>
      <c r="V52" s="365"/>
      <c r="W52" s="1777"/>
      <c r="X52" s="1688"/>
      <c r="Y52" s="365"/>
      <c r="Z52" s="365"/>
      <c r="AA52" s="1777"/>
      <c r="AB52" s="1688"/>
      <c r="AC52" s="365"/>
      <c r="AD52" s="1777"/>
      <c r="AE52" s="23"/>
      <c r="AF52" s="23"/>
      <c r="AG52" s="23"/>
      <c r="AH52" s="23"/>
      <c r="AJ52" s="1548"/>
      <c r="AK52" s="1548"/>
      <c r="AL52" s="1548"/>
      <c r="AM52" s="1548"/>
      <c r="AN52" s="1548"/>
      <c r="AO52" s="1548"/>
      <c r="AP52" s="1536" t="s">
        <v>372</v>
      </c>
      <c r="AQ52" s="1536" t="s">
        <v>372</v>
      </c>
      <c r="AR52" s="1548"/>
      <c r="AS52" s="1548"/>
    </row>
    <row r="54" spans="1:45" s="2070" customFormat="1" ht="11.25" customHeight="1">
      <c r="A54" s="1725" t="s">
        <v>1142</v>
      </c>
    </row>
    <row r="56" spans="1:45" s="2062" customFormat="1" ht="15" customHeight="1">
      <c r="A56" s="69" t="s">
        <v>89</v>
      </c>
      <c r="B56" s="52" t="s">
        <v>24</v>
      </c>
      <c r="C56" s="1734"/>
      <c r="D56" s="55"/>
      <c r="E56" s="315"/>
      <c r="F56" s="315"/>
      <c r="G56" s="1713"/>
      <c r="H56" s="1733"/>
      <c r="I56" s="1714"/>
      <c r="K56" s="190"/>
      <c r="L56" s="191"/>
    </row>
    <row r="58" spans="1:45" s="2070" customFormat="1" ht="11.25" customHeight="1">
      <c r="A58" s="1725" t="s">
        <v>1143</v>
      </c>
    </row>
    <row r="60" spans="1:45" s="1908" customFormat="1" ht="14.25" customHeight="1">
      <c r="A60" s="268"/>
      <c r="B60" s="1060"/>
      <c r="C60" s="305"/>
      <c r="D60" s="1720"/>
      <c r="E60" s="799"/>
      <c r="F60" s="1733"/>
      <c r="G60" s="23"/>
      <c r="I60" s="1536"/>
      <c r="J60" s="1536"/>
    </row>
    <row r="62" spans="1:45" s="2070" customFormat="1" ht="11.25" customHeight="1">
      <c r="A62" s="1725" t="s">
        <v>1144</v>
      </c>
    </row>
    <row r="64" spans="1:45" s="1908" customFormat="1" ht="27" customHeight="1">
      <c r="A64" s="1066"/>
      <c r="B64" s="1066"/>
      <c r="C64" s="1066"/>
      <c r="D64" s="1060"/>
      <c r="E64" s="1735"/>
      <c r="F64" s="2504"/>
      <c r="G64" s="2505"/>
      <c r="H64" s="2506" t="s">
        <v>61</v>
      </c>
      <c r="I64" s="2508"/>
      <c r="J64" s="2482"/>
      <c r="K64" s="2510"/>
      <c r="L64" s="2484"/>
      <c r="M64" s="2484"/>
      <c r="N64" s="2485"/>
      <c r="O64" s="2485"/>
      <c r="P64" s="2486" t="e">
        <f>DATEDIF(DATEVALUE(N64),DATEVALUE(O64),"y")&amp;"г. "&amp;DATEDIF(DATEVALUE(N64),DATEVALUE(O64),"ym")&amp;"мес. "&amp;DATEVALUE(O64)-DATE(YEAR(DATEVALUE(O64)),MONTH(DATEVALUE(O64)),1)&amp;"дн. "</f>
        <v>#VALUE!</v>
      </c>
      <c r="Q64" s="2481"/>
      <c r="R64" s="2481"/>
      <c r="S64" s="2481"/>
      <c r="T64" s="2482"/>
      <c r="U64" s="2481"/>
      <c r="V64" s="2481"/>
      <c r="W64" s="2481"/>
      <c r="X64" s="2482"/>
      <c r="Y64" s="2479" t="s">
        <v>61</v>
      </c>
      <c r="Z64" s="1718"/>
      <c r="AA64" s="1702">
        <v>1</v>
      </c>
      <c r="AB64" s="1151"/>
      <c r="AD64" s="1548" t="s">
        <v>1145</v>
      </c>
    </row>
    <row r="65" spans="1:58" s="1908" customFormat="1" ht="10.5" customHeight="1">
      <c r="A65" s="1066"/>
      <c r="B65" s="1066"/>
      <c r="C65" s="1066"/>
      <c r="D65" s="1060"/>
      <c r="E65" s="856"/>
      <c r="F65" s="2504"/>
      <c r="G65" s="2505"/>
      <c r="H65" s="2507"/>
      <c r="I65" s="2509"/>
      <c r="J65" s="2483"/>
      <c r="K65" s="2510"/>
      <c r="L65" s="2484"/>
      <c r="M65" s="2484"/>
      <c r="N65" s="2485"/>
      <c r="O65" s="2485"/>
      <c r="P65" s="2486"/>
      <c r="Q65" s="2481"/>
      <c r="R65" s="2481"/>
      <c r="S65" s="2481"/>
      <c r="T65" s="2483"/>
      <c r="U65" s="2481"/>
      <c r="V65" s="2481"/>
      <c r="W65" s="2481"/>
      <c r="X65" s="2483"/>
      <c r="Y65" s="2480"/>
      <c r="Z65" s="272"/>
      <c r="AA65" s="497"/>
      <c r="AB65" s="573" t="s">
        <v>1146</v>
      </c>
    </row>
    <row r="67" spans="1:58" s="2070" customFormat="1" ht="11.25" customHeight="1">
      <c r="A67" s="1725" t="s">
        <v>1147</v>
      </c>
    </row>
    <row r="69" spans="1:58" s="1908" customFormat="1" ht="27" customHeight="1">
      <c r="A69" s="1066"/>
      <c r="B69" s="1066"/>
      <c r="C69" s="1066"/>
      <c r="D69" s="1060"/>
      <c r="E69" s="1735"/>
      <c r="F69" s="1707"/>
      <c r="G69" s="1656"/>
      <c r="H69" s="1657"/>
      <c r="I69" s="1658"/>
      <c r="J69" s="1659"/>
      <c r="K69" s="1660"/>
      <c r="L69" s="1661"/>
      <c r="M69" s="1661"/>
      <c r="N69" s="1662"/>
      <c r="O69" s="1662"/>
      <c r="P69" s="1663"/>
      <c r="Q69" s="1664"/>
      <c r="R69" s="1664"/>
      <c r="S69" s="1664"/>
      <c r="T69" s="1659"/>
      <c r="U69" s="1664"/>
      <c r="V69" s="1664"/>
      <c r="W69" s="1664"/>
      <c r="X69" s="1659"/>
      <c r="Y69" s="1657"/>
      <c r="Z69" s="1718"/>
      <c r="AA69" s="1702">
        <v>1</v>
      </c>
      <c r="AB69" s="1151"/>
      <c r="AD69" s="1548" t="s">
        <v>1145</v>
      </c>
    </row>
    <row r="71" spans="1:58" s="2070" customFormat="1" ht="11.25" customHeight="1">
      <c r="A71" s="1725" t="s">
        <v>1148</v>
      </c>
    </row>
    <row r="72" spans="1:58" ht="17.25" customHeight="1"/>
    <row r="73" spans="1:58" s="1908" customFormat="1" ht="21" customHeight="1">
      <c r="A73" s="1067"/>
      <c r="B73" s="1066"/>
      <c r="C73" s="1066"/>
      <c r="D73" s="1060"/>
      <c r="E73" s="1070"/>
      <c r="F73" s="1025" t="e">
        <f>INDEX(IP_MAIN_LIST_NAME_IP,MATCH(A73,IP_MAIN_LIST_IP_ID,0))&amp;" ("&amp;INDEX(IP_MAIN_START_DATE,MATCH(A73,IP_MAIN_LIST_IP_ID,0))&amp;"-"&amp;INDEX(IP_MAIN_END_DATE,MATCH(A73,IP_MAIN_LIST_IP_ID,0))&amp;")"</f>
        <v>#N/A</v>
      </c>
      <c r="G73" s="1026"/>
      <c r="H73" s="1026"/>
      <c r="I73" s="1087"/>
      <c r="J73" s="1087"/>
      <c r="K73" s="1088"/>
      <c r="L73" s="1088"/>
      <c r="M73" s="1088"/>
      <c r="N73" s="1089"/>
      <c r="O73" s="1089"/>
      <c r="P73" s="1089"/>
      <c r="Q73" s="1089"/>
      <c r="R73" s="1089"/>
      <c r="S73" s="1089"/>
      <c r="T73" s="1089"/>
      <c r="U73" s="1089"/>
      <c r="V73" s="1089"/>
      <c r="W73" s="1089"/>
      <c r="X73" s="1089"/>
      <c r="Y73" s="1089"/>
      <c r="Z73" s="1089"/>
      <c r="AA73" s="1089"/>
      <c r="AB73" s="1089"/>
      <c r="AC73" s="1089"/>
      <c r="AD73" s="1089"/>
      <c r="AE73" s="1090"/>
      <c r="AF73" s="1088"/>
      <c r="AG73" s="1088"/>
      <c r="AH73" s="1088"/>
      <c r="AI73" s="1088"/>
      <c r="AJ73" s="1088"/>
      <c r="AK73" s="1088"/>
      <c r="AL73" s="1071"/>
      <c r="AM73" s="1731"/>
      <c r="AN73" s="1731"/>
      <c r="AO73" s="1731"/>
      <c r="AP73" s="1731"/>
      <c r="AQ73" s="1731"/>
      <c r="AR73" s="1731"/>
      <c r="AS73" s="1731"/>
      <c r="AT73" s="1731"/>
      <c r="AU73" s="1731"/>
      <c r="AV73" s="1731"/>
      <c r="AW73" s="1731"/>
      <c r="AX73" s="1731"/>
      <c r="AY73" s="1731"/>
      <c r="AZ73" s="1731"/>
      <c r="BA73" s="1731"/>
      <c r="BB73" s="1731"/>
      <c r="BC73" s="1731"/>
      <c r="BD73" s="1731"/>
      <c r="BE73" s="1731"/>
      <c r="BF73" s="1731"/>
    </row>
    <row r="74" spans="1:58" s="1908" customFormat="1" ht="11.25" customHeight="1">
      <c r="A74" s="1066"/>
      <c r="B74" s="1066"/>
      <c r="C74" s="1066"/>
      <c r="D74" s="1060"/>
      <c r="E74" s="1070"/>
      <c r="F74" s="2477"/>
      <c r="G74" s="2389"/>
      <c r="H74" s="2389" t="s">
        <v>108</v>
      </c>
      <c r="I74" s="2463"/>
      <c r="J74" s="2450"/>
      <c r="K74" s="2464"/>
      <c r="L74" s="2456" t="s">
        <v>56</v>
      </c>
      <c r="M74" s="2125"/>
      <c r="N74" s="1079"/>
      <c r="O74" s="1078" t="s">
        <v>367</v>
      </c>
      <c r="P74" s="1079"/>
      <c r="Q74" s="1079"/>
      <c r="R74" s="1079"/>
      <c r="S74" s="1079"/>
      <c r="T74" s="1079"/>
      <c r="U74" s="1079"/>
      <c r="V74" s="1079"/>
      <c r="W74" s="1079"/>
      <c r="X74" s="1079"/>
      <c r="Y74" s="1079"/>
      <c r="Z74" s="1079"/>
      <c r="AA74" s="1079"/>
      <c r="AB74" s="1079"/>
      <c r="AC74" s="1079"/>
      <c r="AD74" s="1079"/>
      <c r="AE74" s="1079"/>
      <c r="AF74" s="2455"/>
      <c r="AG74" s="2456"/>
      <c r="AH74" s="2456"/>
      <c r="AI74" s="2455"/>
      <c r="AJ74" s="2456"/>
      <c r="AK74" s="2456"/>
      <c r="AL74" s="1073"/>
      <c r="AM74" s="1731"/>
      <c r="AN74" s="1731"/>
      <c r="AO74" s="1731"/>
      <c r="AP74" s="1731"/>
      <c r="AQ74" s="1731"/>
      <c r="AR74" s="1731"/>
      <c r="AS74" s="1731"/>
      <c r="AT74" s="1731"/>
      <c r="AU74" s="1731"/>
      <c r="AV74" s="1731"/>
      <c r="AW74" s="1731"/>
      <c r="AX74" s="1731"/>
      <c r="AY74" s="1731"/>
      <c r="AZ74" s="1731"/>
      <c r="BA74" s="1731"/>
      <c r="BB74" s="1731"/>
      <c r="BC74" s="1731"/>
      <c r="BD74" s="1731"/>
      <c r="BE74" s="1731"/>
      <c r="BF74" s="1731"/>
    </row>
    <row r="75" spans="1:58" s="1908" customFormat="1" ht="11.25" customHeight="1">
      <c r="A75" s="1066"/>
      <c r="B75" s="1066"/>
      <c r="C75" s="1066"/>
      <c r="D75" s="1060"/>
      <c r="E75" s="1070"/>
      <c r="F75" s="2477"/>
      <c r="G75" s="2389"/>
      <c r="H75" s="2389"/>
      <c r="I75" s="2463"/>
      <c r="J75" s="2450"/>
      <c r="K75" s="2464"/>
      <c r="L75" s="2456"/>
      <c r="M75" s="2125"/>
      <c r="N75" s="2457"/>
      <c r="O75" s="2458">
        <v>1</v>
      </c>
      <c r="P75" s="2459" t="s">
        <v>56</v>
      </c>
      <c r="Q75" s="2371" t="s">
        <v>24</v>
      </c>
      <c r="R75" s="2371" t="s">
        <v>24</v>
      </c>
      <c r="S75" s="2371" t="s">
        <v>24</v>
      </c>
      <c r="T75" s="2371" t="s">
        <v>24</v>
      </c>
      <c r="U75" s="2371" t="s">
        <v>24</v>
      </c>
      <c r="V75" s="2371" t="s">
        <v>24</v>
      </c>
      <c r="W75" s="2371" t="s">
        <v>24</v>
      </c>
      <c r="X75" s="2371" t="s">
        <v>24</v>
      </c>
      <c r="Y75" s="2371"/>
      <c r="Z75" s="1076"/>
      <c r="AA75" s="1077"/>
      <c r="AB75" s="1077"/>
      <c r="AC75" s="1081"/>
      <c r="AD75" s="1081"/>
      <c r="AE75" s="1082"/>
      <c r="AF75" s="2455"/>
      <c r="AG75" s="2456"/>
      <c r="AH75" s="2456"/>
      <c r="AI75" s="2455"/>
      <c r="AJ75" s="2456"/>
      <c r="AK75" s="2456"/>
      <c r="AL75" s="1073"/>
      <c r="AM75" s="1731"/>
      <c r="AN75" s="1731"/>
      <c r="AO75" s="1731"/>
      <c r="AP75" s="1731"/>
      <c r="AQ75" s="1731"/>
      <c r="AR75" s="1731"/>
      <c r="AS75" s="1731"/>
      <c r="AT75" s="1731"/>
      <c r="AU75" s="1731"/>
      <c r="AV75" s="1731"/>
      <c r="AW75" s="1731"/>
      <c r="AX75" s="1731"/>
      <c r="AY75" s="1731"/>
      <c r="AZ75" s="1731"/>
      <c r="BA75" s="1731"/>
      <c r="BB75" s="1731"/>
      <c r="BC75" s="1731"/>
      <c r="BD75" s="1731"/>
      <c r="BE75" s="1731"/>
      <c r="BF75" s="1731"/>
    </row>
    <row r="76" spans="1:58" s="1908" customFormat="1" ht="11.25" customHeight="1">
      <c r="A76" s="1066"/>
      <c r="B76" s="1066"/>
      <c r="C76" s="1066"/>
      <c r="D76" s="1060"/>
      <c r="E76" s="1070"/>
      <c r="F76" s="2477"/>
      <c r="G76" s="2389"/>
      <c r="H76" s="2389"/>
      <c r="I76" s="2463"/>
      <c r="J76" s="2450"/>
      <c r="K76" s="2464"/>
      <c r="L76" s="2456"/>
      <c r="M76" s="2125"/>
      <c r="N76" s="2457"/>
      <c r="O76" s="2458"/>
      <c r="P76" s="2460"/>
      <c r="Q76" s="2371"/>
      <c r="R76" s="2371"/>
      <c r="S76" s="2462"/>
      <c r="T76" s="2371"/>
      <c r="U76" s="2371"/>
      <c r="V76" s="2371"/>
      <c r="W76" s="2371"/>
      <c r="X76" s="2371"/>
      <c r="Y76" s="2371"/>
      <c r="Z76" s="1736"/>
      <c r="AA76" s="1704">
        <v>1</v>
      </c>
      <c r="AB76" s="1080"/>
      <c r="AC76" s="1069"/>
      <c r="AD76" s="1080">
        <f>AB76</f>
        <v>0</v>
      </c>
      <c r="AE76" s="1069"/>
      <c r="AF76" s="2455"/>
      <c r="AG76" s="2456"/>
      <c r="AH76" s="2456"/>
      <c r="AI76" s="2455"/>
      <c r="AJ76" s="2456"/>
      <c r="AK76" s="2456"/>
      <c r="AL76" s="1073"/>
      <c r="AM76" s="1731"/>
      <c r="AN76" s="1731"/>
      <c r="AO76" s="1731"/>
      <c r="AP76" s="1731"/>
      <c r="AQ76" s="1731"/>
      <c r="AR76" s="1731"/>
      <c r="AS76" s="1731"/>
      <c r="AT76" s="1731"/>
      <c r="AU76" s="1731"/>
      <c r="AV76" s="1731"/>
      <c r="AW76" s="1731"/>
      <c r="AX76" s="1731"/>
      <c r="AY76" s="1731"/>
      <c r="AZ76" s="1731"/>
      <c r="BA76" s="1731"/>
      <c r="BB76" s="1731"/>
      <c r="BC76" s="1731"/>
      <c r="BD76" s="1731"/>
      <c r="BE76" s="1731"/>
      <c r="BF76" s="1731"/>
    </row>
    <row r="77" spans="1:58" s="1908" customFormat="1" ht="11.25" customHeight="1">
      <c r="A77" s="1066"/>
      <c r="B77" s="1066"/>
      <c r="C77" s="1066"/>
      <c r="D77" s="1060"/>
      <c r="E77" s="1070"/>
      <c r="F77" s="2477"/>
      <c r="G77" s="2389"/>
      <c r="H77" s="2389"/>
      <c r="I77" s="2463"/>
      <c r="J77" s="2450"/>
      <c r="K77" s="2464"/>
      <c r="L77" s="2456"/>
      <c r="M77" s="2125"/>
      <c r="N77" s="2457"/>
      <c r="O77" s="2458"/>
      <c r="P77" s="2461"/>
      <c r="Q77" s="2371"/>
      <c r="R77" s="2371"/>
      <c r="S77" s="2462"/>
      <c r="T77" s="2371"/>
      <c r="U77" s="2371"/>
      <c r="V77" s="2371"/>
      <c r="W77" s="2371"/>
      <c r="X77" s="2371"/>
      <c r="Y77" s="2371"/>
      <c r="Z77" s="1076"/>
      <c r="AA77" s="1077"/>
      <c r="AB77" s="1150" t="s">
        <v>1149</v>
      </c>
      <c r="AC77" s="1081"/>
      <c r="AD77" s="1081"/>
      <c r="AE77" s="1083"/>
      <c r="AF77" s="2455"/>
      <c r="AG77" s="2456"/>
      <c r="AH77" s="2456"/>
      <c r="AI77" s="2455"/>
      <c r="AJ77" s="2456"/>
      <c r="AK77" s="2456"/>
      <c r="AL77" s="1073"/>
      <c r="AM77" s="1731"/>
      <c r="AN77" s="1731"/>
      <c r="AO77" s="1731"/>
      <c r="AP77" s="1731"/>
      <c r="AQ77" s="1731"/>
      <c r="AR77" s="1731"/>
      <c r="AS77" s="1731"/>
      <c r="AT77" s="1731"/>
      <c r="AU77" s="1731"/>
      <c r="AV77" s="1731"/>
      <c r="AW77" s="1731"/>
      <c r="AX77" s="1731"/>
      <c r="AY77" s="1731"/>
      <c r="AZ77" s="1731"/>
      <c r="BA77" s="1731"/>
      <c r="BB77" s="1731"/>
      <c r="BC77" s="1731"/>
      <c r="BD77" s="1731"/>
      <c r="BE77" s="1731"/>
      <c r="BF77" s="1731"/>
    </row>
    <row r="78" spans="1:58" s="1908" customFormat="1" ht="11.25" customHeight="1">
      <c r="A78" s="1066"/>
      <c r="B78" s="1066"/>
      <c r="C78" s="1066"/>
      <c r="D78" s="1060"/>
      <c r="E78" s="1070"/>
      <c r="F78" s="2477"/>
      <c r="G78" s="2389"/>
      <c r="H78" s="2389"/>
      <c r="I78" s="2463"/>
      <c r="J78" s="2450"/>
      <c r="K78" s="2464"/>
      <c r="L78" s="2456"/>
      <c r="M78" s="2125"/>
      <c r="N78" s="1077"/>
      <c r="O78" s="1077"/>
      <c r="P78" s="1068" t="s">
        <v>1150</v>
      </c>
      <c r="Q78" s="1077"/>
      <c r="R78" s="1077"/>
      <c r="S78" s="1077"/>
      <c r="T78" s="1077"/>
      <c r="U78" s="1077"/>
      <c r="V78" s="1077"/>
      <c r="W78" s="1077"/>
      <c r="X78" s="1077"/>
      <c r="Y78" s="1077"/>
      <c r="Z78" s="1077"/>
      <c r="AA78" s="1077"/>
      <c r="AB78" s="1077"/>
      <c r="AC78" s="1077"/>
      <c r="AD78" s="1077"/>
      <c r="AE78" s="1084"/>
      <c r="AF78" s="2455"/>
      <c r="AG78" s="2456"/>
      <c r="AH78" s="2456"/>
      <c r="AI78" s="2455"/>
      <c r="AJ78" s="2456"/>
      <c r="AK78" s="2456"/>
      <c r="AL78" s="1073"/>
      <c r="AM78" s="1731"/>
      <c r="AN78" s="1731"/>
      <c r="AO78" s="1731"/>
      <c r="AP78" s="1731"/>
      <c r="AQ78" s="1731"/>
      <c r="AR78" s="1731"/>
      <c r="AS78" s="1731"/>
      <c r="AT78" s="1731"/>
      <c r="AU78" s="1731"/>
      <c r="AV78" s="1731"/>
      <c r="AW78" s="1731"/>
      <c r="AX78" s="1731"/>
      <c r="AY78" s="1731"/>
      <c r="AZ78" s="1731"/>
      <c r="BA78" s="1731"/>
      <c r="BB78" s="1731"/>
      <c r="BC78" s="1731"/>
      <c r="BD78" s="1731"/>
      <c r="BE78" s="1731"/>
      <c r="BF78" s="1731"/>
    </row>
    <row r="79" spans="1:58" s="1908" customFormat="1" ht="12" customHeight="1">
      <c r="A79" s="1066"/>
      <c r="B79" s="1066"/>
      <c r="C79" s="1066"/>
      <c r="D79" s="1060"/>
      <c r="E79" s="1070"/>
      <c r="F79" s="2478"/>
      <c r="G79" s="1092"/>
      <c r="H79" s="1092"/>
      <c r="I79" s="2476" t="s">
        <v>1151</v>
      </c>
      <c r="J79" s="2476"/>
      <c r="K79" s="2476"/>
      <c r="L79" s="1074"/>
      <c r="M79" s="1074"/>
      <c r="N79" s="1075"/>
      <c r="O79" s="1075"/>
      <c r="P79" s="1075"/>
      <c r="Q79" s="1075"/>
      <c r="R79" s="1075"/>
      <c r="S79" s="1075"/>
      <c r="T79" s="1075"/>
      <c r="U79" s="1075"/>
      <c r="V79" s="1075"/>
      <c r="W79" s="1075"/>
      <c r="X79" s="1075"/>
      <c r="Y79" s="1075"/>
      <c r="Z79" s="1075"/>
      <c r="AA79" s="1075"/>
      <c r="AB79" s="1075"/>
      <c r="AC79" s="1075"/>
      <c r="AD79" s="1075"/>
      <c r="AE79" s="1075"/>
      <c r="AF79" s="1075"/>
      <c r="AG79" s="1074"/>
      <c r="AH79" s="1074"/>
      <c r="AI79" s="1075"/>
      <c r="AJ79" s="1074"/>
      <c r="AK79" s="1085"/>
      <c r="AL79" s="1073"/>
      <c r="AM79" s="1731"/>
      <c r="AN79" s="1731"/>
      <c r="AO79" s="1731"/>
      <c r="AP79" s="1731"/>
      <c r="AQ79" s="1731"/>
      <c r="AR79" s="1731"/>
      <c r="AS79" s="1731"/>
      <c r="AT79" s="1731"/>
      <c r="AU79" s="1731"/>
      <c r="AV79" s="1731"/>
      <c r="AW79" s="1731"/>
      <c r="AX79" s="1731"/>
      <c r="AY79" s="1731"/>
      <c r="AZ79" s="1731"/>
      <c r="BA79" s="1731"/>
      <c r="BB79" s="1731"/>
      <c r="BC79" s="1731"/>
      <c r="BD79" s="1731"/>
      <c r="BE79" s="1731"/>
      <c r="BF79" s="1731"/>
    </row>
    <row r="81" spans="1:58" s="2070" customFormat="1" ht="11.25" customHeight="1">
      <c r="A81" s="1725" t="s">
        <v>1152</v>
      </c>
    </row>
    <row r="83" spans="1:58" s="1908" customFormat="1" ht="11.25" customHeight="1">
      <c r="A83" s="1066"/>
      <c r="B83" s="1066"/>
      <c r="C83" s="1066"/>
      <c r="D83" s="1060"/>
      <c r="E83" s="1070"/>
      <c r="F83" s="1737"/>
      <c r="G83" s="1738"/>
      <c r="H83" s="1738"/>
      <c r="I83" s="1673"/>
      <c r="J83" s="1673"/>
      <c r="K83" s="1739"/>
      <c r="L83" s="1673"/>
      <c r="M83" s="1738"/>
      <c r="N83" s="2503"/>
      <c r="O83" s="2458">
        <v>1</v>
      </c>
      <c r="P83" s="2459" t="s">
        <v>56</v>
      </c>
      <c r="Q83" s="2371" t="s">
        <v>24</v>
      </c>
      <c r="R83" s="2371" t="s">
        <v>24</v>
      </c>
      <c r="S83" s="2371" t="s">
        <v>24</v>
      </c>
      <c r="T83" s="2371" t="s">
        <v>24</v>
      </c>
      <c r="U83" s="2371" t="s">
        <v>24</v>
      </c>
      <c r="V83" s="2371" t="s">
        <v>24</v>
      </c>
      <c r="W83" s="2371" t="s">
        <v>24</v>
      </c>
      <c r="X83" s="2371" t="s">
        <v>24</v>
      </c>
      <c r="Y83" s="2371"/>
      <c r="Z83" s="1076"/>
      <c r="AA83" s="1077"/>
      <c r="AB83" s="1077"/>
      <c r="AC83" s="1081"/>
      <c r="AD83" s="1081"/>
      <c r="AE83" s="1081"/>
      <c r="AF83" s="1740"/>
      <c r="AG83" s="1668"/>
      <c r="AH83" s="1668"/>
      <c r="AI83" s="1740"/>
      <c r="AJ83" s="1668"/>
      <c r="AK83" s="1668"/>
      <c r="AL83" s="1073"/>
      <c r="AM83" s="1731"/>
      <c r="AN83" s="1731"/>
      <c r="AO83" s="1731"/>
      <c r="AP83" s="1731"/>
      <c r="AQ83" s="1731"/>
      <c r="AR83" s="1731"/>
      <c r="AS83" s="1731"/>
      <c r="AT83" s="1731"/>
      <c r="AU83" s="1731"/>
      <c r="AV83" s="1731"/>
      <c r="AW83" s="1731"/>
      <c r="AX83" s="1731"/>
      <c r="AY83" s="1731"/>
      <c r="AZ83" s="1731"/>
      <c r="BA83" s="1731"/>
      <c r="BB83" s="1731"/>
      <c r="BC83" s="1731"/>
      <c r="BD83" s="1731"/>
      <c r="BE83" s="1731"/>
      <c r="BF83" s="1731"/>
    </row>
    <row r="84" spans="1:58" s="1908" customFormat="1" ht="11.25" customHeight="1">
      <c r="A84" s="1066"/>
      <c r="B84" s="1066"/>
      <c r="C84" s="1066"/>
      <c r="D84" s="1060"/>
      <c r="E84" s="1070"/>
      <c r="F84" s="1737"/>
      <c r="G84" s="1738"/>
      <c r="H84" s="1738"/>
      <c r="I84" s="1674"/>
      <c r="J84" s="1674"/>
      <c r="K84" s="1739"/>
      <c r="L84" s="1674"/>
      <c r="M84" s="1738"/>
      <c r="N84" s="2503"/>
      <c r="O84" s="2458"/>
      <c r="P84" s="2460"/>
      <c r="Q84" s="2371"/>
      <c r="R84" s="2371"/>
      <c r="S84" s="2462"/>
      <c r="T84" s="2371"/>
      <c r="U84" s="2371"/>
      <c r="V84" s="2371"/>
      <c r="W84" s="2371"/>
      <c r="X84" s="2371"/>
      <c r="Y84" s="2371"/>
      <c r="Z84" s="1736"/>
      <c r="AA84" s="1704">
        <v>1</v>
      </c>
      <c r="AB84" s="1080"/>
      <c r="AC84" s="1069"/>
      <c r="AD84" s="1080">
        <f>AB84</f>
        <v>0</v>
      </c>
      <c r="AE84" s="643"/>
      <c r="AF84" s="1739"/>
      <c r="AG84" s="1668"/>
      <c r="AH84" s="1668"/>
      <c r="AI84" s="1739"/>
      <c r="AJ84" s="1668"/>
      <c r="AK84" s="1668"/>
      <c r="AL84" s="1073"/>
      <c r="AM84" s="1731"/>
      <c r="AN84" s="1731"/>
      <c r="AO84" s="1731"/>
      <c r="AP84" s="1731"/>
      <c r="AQ84" s="1731"/>
      <c r="AR84" s="1731"/>
      <c r="AS84" s="1731"/>
      <c r="AT84" s="1731"/>
      <c r="AU84" s="1731"/>
      <c r="AV84" s="1731"/>
      <c r="AW84" s="1731"/>
      <c r="AX84" s="1731"/>
      <c r="AY84" s="1731"/>
      <c r="AZ84" s="1731"/>
      <c r="BA84" s="1731"/>
      <c r="BB84" s="1731"/>
      <c r="BC84" s="1731"/>
      <c r="BD84" s="1731"/>
      <c r="BE84" s="1731"/>
      <c r="BF84" s="1731"/>
    </row>
    <row r="85" spans="1:58" s="1908" customFormat="1" ht="11.25" customHeight="1">
      <c r="A85" s="1066"/>
      <c r="B85" s="1066"/>
      <c r="C85" s="1066"/>
      <c r="D85" s="1060"/>
      <c r="E85" s="1070"/>
      <c r="F85" s="1737"/>
      <c r="G85" s="1738"/>
      <c r="H85" s="1738"/>
      <c r="I85" s="1675"/>
      <c r="J85" s="1675"/>
      <c r="K85" s="1739"/>
      <c r="L85" s="1675"/>
      <c r="M85" s="1738"/>
      <c r="N85" s="2503"/>
      <c r="O85" s="2458"/>
      <c r="P85" s="2461"/>
      <c r="Q85" s="2371"/>
      <c r="R85" s="2371"/>
      <c r="S85" s="2462"/>
      <c r="T85" s="2371"/>
      <c r="U85" s="2371"/>
      <c r="V85" s="2371"/>
      <c r="W85" s="2371"/>
      <c r="X85" s="2371"/>
      <c r="Y85" s="2371"/>
      <c r="Z85" s="1076"/>
      <c r="AA85" s="1077"/>
      <c r="AB85" s="1150" t="s">
        <v>1149</v>
      </c>
      <c r="AC85" s="1081"/>
      <c r="AD85" s="1081"/>
      <c r="AE85" s="1081"/>
      <c r="AF85" s="1741"/>
      <c r="AG85" s="1668"/>
      <c r="AH85" s="1668"/>
      <c r="AI85" s="1741"/>
      <c r="AJ85" s="1668"/>
      <c r="AK85" s="1668"/>
      <c r="AL85" s="1073"/>
      <c r="AM85" s="1731"/>
      <c r="AN85" s="1731"/>
      <c r="AO85" s="1731"/>
      <c r="AP85" s="1731"/>
      <c r="AQ85" s="1731"/>
      <c r="AR85" s="1731"/>
      <c r="AS85" s="1731"/>
      <c r="AT85" s="1731"/>
      <c r="AU85" s="1731"/>
      <c r="AV85" s="1731"/>
      <c r="AW85" s="1731"/>
      <c r="AX85" s="1731"/>
      <c r="AY85" s="1731"/>
      <c r="AZ85" s="1731"/>
      <c r="BA85" s="1731"/>
      <c r="BB85" s="1731"/>
      <c r="BC85" s="1731"/>
      <c r="BD85" s="1731"/>
      <c r="BE85" s="1731"/>
      <c r="BF85" s="1731"/>
    </row>
    <row r="87" spans="1:58" s="2070" customFormat="1" ht="11.25" customHeight="1">
      <c r="A87" s="1725" t="s">
        <v>1153</v>
      </c>
    </row>
    <row r="89" spans="1:58" s="1908" customFormat="1" ht="11.25" customHeight="1">
      <c r="A89" s="1066"/>
      <c r="B89" s="1066"/>
      <c r="C89" s="1066"/>
      <c r="D89" s="1060"/>
      <c r="E89" s="1070"/>
      <c r="F89" s="1738"/>
      <c r="G89" s="1738"/>
      <c r="H89" s="1738"/>
      <c r="I89" s="1738"/>
      <c r="J89" s="1738"/>
      <c r="K89" s="1738"/>
      <c r="L89" s="1738"/>
      <c r="M89" s="1738"/>
      <c r="N89" s="1738"/>
      <c r="O89" s="1738"/>
      <c r="P89" s="1738"/>
      <c r="Q89" s="1738"/>
      <c r="R89" s="1738"/>
      <c r="S89" s="1738"/>
      <c r="T89" s="1738"/>
      <c r="U89" s="1738"/>
      <c r="V89" s="1738"/>
      <c r="W89" s="1738"/>
      <c r="X89" s="1738"/>
      <c r="Y89" s="1738"/>
      <c r="Z89" s="1742"/>
      <c r="AA89" s="1724">
        <v>1</v>
      </c>
      <c r="AB89" s="1080"/>
      <c r="AC89" s="1069"/>
      <c r="AD89" s="1080">
        <f>AB89</f>
        <v>0</v>
      </c>
      <c r="AE89" s="1069"/>
      <c r="AF89" s="1739"/>
      <c r="AG89" s="1668"/>
      <c r="AH89" s="1668"/>
      <c r="AI89" s="1739"/>
      <c r="AJ89" s="1668"/>
      <c r="AK89" s="1668"/>
      <c r="AL89" s="1073"/>
      <c r="AM89" s="1731"/>
      <c r="AN89" s="1731"/>
      <c r="AO89" s="1731"/>
      <c r="AP89" s="1731"/>
      <c r="AQ89" s="1731"/>
      <c r="AR89" s="1731"/>
      <c r="AS89" s="1731"/>
      <c r="AT89" s="1731"/>
      <c r="AU89" s="1731"/>
      <c r="AV89" s="1731"/>
      <c r="AW89" s="1731"/>
      <c r="AX89" s="1731"/>
      <c r="AY89" s="1731"/>
      <c r="AZ89" s="1731"/>
      <c r="BA89" s="1731"/>
      <c r="BB89" s="1731"/>
      <c r="BC89" s="1731"/>
      <c r="BD89" s="1731"/>
      <c r="BE89" s="1731"/>
      <c r="BF89" s="1731"/>
    </row>
    <row r="91" spans="1:58" s="2070" customFormat="1" ht="11.25" customHeight="1">
      <c r="A91" s="1725" t="s">
        <v>1154</v>
      </c>
    </row>
    <row r="93" spans="1:58" s="1908" customFormat="1" ht="11.25" customHeight="1">
      <c r="A93" s="1066"/>
      <c r="B93" s="1066"/>
      <c r="C93" s="1066"/>
      <c r="D93" s="1060"/>
      <c r="E93" s="1070"/>
      <c r="F93" s="1737"/>
      <c r="G93" s="1738"/>
      <c r="H93" s="2389" t="s">
        <v>108</v>
      </c>
      <c r="I93" s="2463"/>
      <c r="J93" s="2450"/>
      <c r="K93" s="2464"/>
      <c r="L93" s="2456" t="s">
        <v>56</v>
      </c>
      <c r="M93" s="2125"/>
      <c r="N93" s="1079"/>
      <c r="O93" s="1078" t="s">
        <v>367</v>
      </c>
      <c r="P93" s="1079"/>
      <c r="Q93" s="1079"/>
      <c r="R93" s="1079"/>
      <c r="S93" s="1079"/>
      <c r="T93" s="1079"/>
      <c r="U93" s="1079"/>
      <c r="V93" s="1079"/>
      <c r="W93" s="1079"/>
      <c r="X93" s="1079"/>
      <c r="Y93" s="1079"/>
      <c r="Z93" s="1079"/>
      <c r="AA93" s="1079"/>
      <c r="AB93" s="1079"/>
      <c r="AC93" s="1079"/>
      <c r="AD93" s="1079"/>
      <c r="AE93" s="1079"/>
      <c r="AF93" s="2455"/>
      <c r="AG93" s="2456"/>
      <c r="AH93" s="2456"/>
      <c r="AI93" s="2455"/>
      <c r="AJ93" s="2456"/>
      <c r="AK93" s="2456"/>
      <c r="AL93" s="1073"/>
      <c r="AM93" s="1731"/>
      <c r="AN93" s="1731"/>
      <c r="AO93" s="1731"/>
      <c r="AP93" s="1731"/>
      <c r="AQ93" s="1731"/>
      <c r="AR93" s="1731"/>
      <c r="AS93" s="1731"/>
      <c r="AT93" s="1731"/>
      <c r="AU93" s="1731"/>
      <c r="AV93" s="1731"/>
      <c r="AW93" s="1731"/>
      <c r="AX93" s="1731"/>
      <c r="AY93" s="1731"/>
      <c r="AZ93" s="1731"/>
      <c r="BA93" s="1731"/>
      <c r="BB93" s="1731"/>
      <c r="BC93" s="1731"/>
      <c r="BD93" s="1731"/>
      <c r="BE93" s="1731"/>
      <c r="BF93" s="1731"/>
    </row>
    <row r="94" spans="1:58" s="1908" customFormat="1" ht="11.25" customHeight="1">
      <c r="A94" s="1066"/>
      <c r="B94" s="1066"/>
      <c r="C94" s="1066"/>
      <c r="D94" s="1060"/>
      <c r="E94" s="1070"/>
      <c r="F94" s="1737"/>
      <c r="G94" s="1738"/>
      <c r="H94" s="2389"/>
      <c r="I94" s="2463"/>
      <c r="J94" s="2450"/>
      <c r="K94" s="2464"/>
      <c r="L94" s="2456"/>
      <c r="M94" s="2125"/>
      <c r="N94" s="2457"/>
      <c r="O94" s="2458">
        <v>1</v>
      </c>
      <c r="P94" s="2459" t="s">
        <v>56</v>
      </c>
      <c r="Q94" s="2371" t="s">
        <v>24</v>
      </c>
      <c r="R94" s="2371" t="s">
        <v>24</v>
      </c>
      <c r="S94" s="2371" t="s">
        <v>24</v>
      </c>
      <c r="T94" s="2371" t="s">
        <v>24</v>
      </c>
      <c r="U94" s="2371" t="s">
        <v>24</v>
      </c>
      <c r="V94" s="2371" t="s">
        <v>24</v>
      </c>
      <c r="W94" s="2371" t="s">
        <v>24</v>
      </c>
      <c r="X94" s="2371" t="s">
        <v>24</v>
      </c>
      <c r="Y94" s="2371"/>
      <c r="Z94" s="1076"/>
      <c r="AA94" s="1077"/>
      <c r="AB94" s="1077"/>
      <c r="AC94" s="1081"/>
      <c r="AD94" s="1081"/>
      <c r="AE94" s="1082"/>
      <c r="AF94" s="2455"/>
      <c r="AG94" s="2456"/>
      <c r="AH94" s="2456"/>
      <c r="AI94" s="2455"/>
      <c r="AJ94" s="2456"/>
      <c r="AK94" s="2456"/>
      <c r="AL94" s="1073"/>
      <c r="AM94" s="1731"/>
      <c r="AN94" s="1731"/>
      <c r="AO94" s="1731"/>
      <c r="AP94" s="1731"/>
      <c r="AQ94" s="1731"/>
      <c r="AR94" s="1731"/>
      <c r="AS94" s="1731"/>
      <c r="AT94" s="1731"/>
      <c r="AU94" s="1731"/>
      <c r="AV94" s="1731"/>
      <c r="AW94" s="1731"/>
      <c r="AX94" s="1731"/>
      <c r="AY94" s="1731"/>
      <c r="AZ94" s="1731"/>
      <c r="BA94" s="1731"/>
      <c r="BB94" s="1731"/>
      <c r="BC94" s="1731"/>
      <c r="BD94" s="1731"/>
      <c r="BE94" s="1731"/>
      <c r="BF94" s="1731"/>
    </row>
    <row r="95" spans="1:58" s="1908" customFormat="1" ht="11.25" customHeight="1">
      <c r="A95" s="1066"/>
      <c r="B95" s="1066"/>
      <c r="C95" s="1066"/>
      <c r="D95" s="1060"/>
      <c r="E95" s="1070"/>
      <c r="F95" s="1737"/>
      <c r="G95" s="1738"/>
      <c r="H95" s="2389"/>
      <c r="I95" s="2463"/>
      <c r="J95" s="2450"/>
      <c r="K95" s="2464"/>
      <c r="L95" s="2456"/>
      <c r="M95" s="2125"/>
      <c r="N95" s="2457"/>
      <c r="O95" s="2458"/>
      <c r="P95" s="2460"/>
      <c r="Q95" s="2371"/>
      <c r="R95" s="2371"/>
      <c r="S95" s="2462"/>
      <c r="T95" s="2371"/>
      <c r="U95" s="2371"/>
      <c r="V95" s="2371"/>
      <c r="W95" s="2371"/>
      <c r="X95" s="2371"/>
      <c r="Y95" s="2371"/>
      <c r="Z95" s="1736"/>
      <c r="AA95" s="1704">
        <v>1</v>
      </c>
      <c r="AB95" s="1080"/>
      <c r="AC95" s="1069"/>
      <c r="AD95" s="1080">
        <f>AB95</f>
        <v>0</v>
      </c>
      <c r="AE95" s="1069"/>
      <c r="AF95" s="2455"/>
      <c r="AG95" s="2456"/>
      <c r="AH95" s="2456"/>
      <c r="AI95" s="2455"/>
      <c r="AJ95" s="2456"/>
      <c r="AK95" s="2456"/>
      <c r="AL95" s="1073"/>
      <c r="AM95" s="1731"/>
      <c r="AN95" s="1731"/>
      <c r="AO95" s="1731"/>
      <c r="AP95" s="1731"/>
      <c r="AQ95" s="1731"/>
      <c r="AR95" s="1731"/>
      <c r="AS95" s="1731"/>
      <c r="AT95" s="1731"/>
      <c r="AU95" s="1731"/>
      <c r="AV95" s="1731"/>
      <c r="AW95" s="1731"/>
      <c r="AX95" s="1731"/>
      <c r="AY95" s="1731"/>
      <c r="AZ95" s="1731"/>
      <c r="BA95" s="1731"/>
      <c r="BB95" s="1731"/>
      <c r="BC95" s="1731"/>
      <c r="BD95" s="1731"/>
      <c r="BE95" s="1731"/>
      <c r="BF95" s="1731"/>
    </row>
    <row r="96" spans="1:58" s="1908" customFormat="1" ht="11.25" customHeight="1">
      <c r="A96" s="1066"/>
      <c r="B96" s="1066"/>
      <c r="C96" s="1066"/>
      <c r="D96" s="1060"/>
      <c r="E96" s="1070"/>
      <c r="F96" s="1737"/>
      <c r="G96" s="1738"/>
      <c r="H96" s="2389"/>
      <c r="I96" s="2463"/>
      <c r="J96" s="2450"/>
      <c r="K96" s="2464"/>
      <c r="L96" s="2456"/>
      <c r="M96" s="2125"/>
      <c r="N96" s="2457"/>
      <c r="O96" s="2458"/>
      <c r="P96" s="2461"/>
      <c r="Q96" s="2371"/>
      <c r="R96" s="2371"/>
      <c r="S96" s="2462"/>
      <c r="T96" s="2371"/>
      <c r="U96" s="2371"/>
      <c r="V96" s="2371"/>
      <c r="W96" s="2371"/>
      <c r="X96" s="2371"/>
      <c r="Y96" s="2371"/>
      <c r="Z96" s="1076"/>
      <c r="AA96" s="1077"/>
      <c r="AB96" s="1150" t="s">
        <v>1149</v>
      </c>
      <c r="AC96" s="1081"/>
      <c r="AD96" s="1081"/>
      <c r="AE96" s="1083"/>
      <c r="AF96" s="2455"/>
      <c r="AG96" s="2456"/>
      <c r="AH96" s="2456"/>
      <c r="AI96" s="2455"/>
      <c r="AJ96" s="2456"/>
      <c r="AK96" s="2456"/>
      <c r="AL96" s="1073"/>
      <c r="AM96" s="1731"/>
      <c r="AN96" s="1731"/>
      <c r="AO96" s="1731"/>
      <c r="AP96" s="1731"/>
      <c r="AQ96" s="1731"/>
      <c r="AR96" s="1731"/>
      <c r="AS96" s="1731"/>
      <c r="AT96" s="1731"/>
      <c r="AU96" s="1731"/>
      <c r="AV96" s="1731"/>
      <c r="AW96" s="1731"/>
      <c r="AX96" s="1731"/>
      <c r="AY96" s="1731"/>
      <c r="AZ96" s="1731"/>
      <c r="BA96" s="1731"/>
      <c r="BB96" s="1731"/>
      <c r="BC96" s="1731"/>
      <c r="BD96" s="1731"/>
      <c r="BE96" s="1731"/>
      <c r="BF96" s="1731"/>
    </row>
    <row r="97" spans="1:184" s="1908" customFormat="1" ht="11.25" customHeight="1">
      <c r="A97" s="1066"/>
      <c r="B97" s="1066"/>
      <c r="C97" s="1066"/>
      <c r="D97" s="1060"/>
      <c r="E97" s="1070"/>
      <c r="F97" s="1737"/>
      <c r="G97" s="1738"/>
      <c r="H97" s="2389"/>
      <c r="I97" s="2463"/>
      <c r="J97" s="2450"/>
      <c r="K97" s="2464"/>
      <c r="L97" s="2456"/>
      <c r="M97" s="2125"/>
      <c r="N97" s="1077"/>
      <c r="O97" s="1077"/>
      <c r="P97" s="1068" t="s">
        <v>1150</v>
      </c>
      <c r="Q97" s="1077"/>
      <c r="R97" s="1077"/>
      <c r="S97" s="1077"/>
      <c r="T97" s="1077"/>
      <c r="U97" s="1077"/>
      <c r="V97" s="1077"/>
      <c r="W97" s="1077"/>
      <c r="X97" s="1077"/>
      <c r="Y97" s="1077"/>
      <c r="Z97" s="1077"/>
      <c r="AA97" s="1077"/>
      <c r="AB97" s="1077"/>
      <c r="AC97" s="1077"/>
      <c r="AD97" s="1077"/>
      <c r="AE97" s="1084"/>
      <c r="AF97" s="2455"/>
      <c r="AG97" s="2456"/>
      <c r="AH97" s="2456"/>
      <c r="AI97" s="2455"/>
      <c r="AJ97" s="2456"/>
      <c r="AK97" s="2456"/>
      <c r="AL97" s="1073"/>
      <c r="AM97" s="1731"/>
      <c r="AN97" s="1731"/>
      <c r="AO97" s="1731"/>
      <c r="AP97" s="1731"/>
      <c r="AQ97" s="1731"/>
      <c r="AR97" s="1731"/>
      <c r="AS97" s="1731"/>
      <c r="AT97" s="1731"/>
      <c r="AU97" s="1731"/>
      <c r="AV97" s="1731"/>
      <c r="AW97" s="1731"/>
      <c r="AX97" s="1731"/>
      <c r="AY97" s="1731"/>
      <c r="AZ97" s="1731"/>
      <c r="BA97" s="1731"/>
      <c r="BB97" s="1731"/>
      <c r="BC97" s="1731"/>
      <c r="BD97" s="1731"/>
      <c r="BE97" s="1731"/>
      <c r="BF97" s="1731"/>
    </row>
    <row r="99" spans="1:184" s="2070" customFormat="1" ht="11.25" customHeight="1">
      <c r="A99" s="1725" t="s">
        <v>1155</v>
      </c>
    </row>
    <row r="100" spans="1:184" ht="17.25" customHeight="1"/>
    <row r="101" spans="1:184" s="2030" customFormat="1" ht="21" customHeight="1">
      <c r="A101" s="1067"/>
      <c r="B101" s="849"/>
      <c r="D101" s="836"/>
      <c r="E101" s="848" t="s">
        <v>24</v>
      </c>
      <c r="F101" s="1024" t="e">
        <f>INDEX(IP_MAIN_LIST_NAME_IP,MATCH(A101,IP_MAIN_LIST_IP_ID,0))&amp;" ("&amp;INDEX(IP_MAIN_START_DATE,MATCH(A101,IP_MAIN_LIST_IP_ID,0))&amp;"-"&amp;INDEX(IP_MAIN_END_DATE,MATCH(A101,IP_MAIN_LIST_IP_ID,0))&amp;")"</f>
        <v>#N/A</v>
      </c>
      <c r="G101" s="1105"/>
      <c r="H101" s="1106"/>
      <c r="I101" s="1106"/>
      <c r="J101" s="1106"/>
      <c r="K101" s="1106"/>
      <c r="L101" s="1106"/>
      <c r="M101" s="1106"/>
      <c r="N101" s="1106"/>
      <c r="O101" s="1105"/>
      <c r="P101" s="1105"/>
      <c r="Q101" s="1105"/>
      <c r="R101" s="1105"/>
      <c r="S101" s="1105"/>
      <c r="T101" s="1105"/>
      <c r="U101" s="1107"/>
      <c r="V101" s="1107"/>
      <c r="W101" s="1107"/>
      <c r="X101" s="1107"/>
      <c r="Y101" s="1107"/>
      <c r="Z101" s="1107"/>
      <c r="AA101" s="1107"/>
      <c r="AB101" s="1105"/>
      <c r="AC101" s="1106"/>
      <c r="AD101" s="1106"/>
      <c r="AE101" s="1106"/>
      <c r="AF101" s="1106"/>
      <c r="AG101" s="1106"/>
      <c r="AH101" s="1106"/>
      <c r="AI101" s="1106"/>
      <c r="AJ101" s="1106"/>
      <c r="AK101" s="1106"/>
      <c r="AL101" s="1106"/>
      <c r="AM101" s="1106"/>
      <c r="AN101" s="1106"/>
      <c r="AO101" s="1106"/>
      <c r="AP101" s="1106"/>
      <c r="AQ101" s="1106"/>
      <c r="AR101" s="1106"/>
      <c r="AS101" s="1106"/>
      <c r="AT101" s="1106"/>
      <c r="AU101" s="1106"/>
      <c r="AV101" s="1106"/>
      <c r="AW101" s="1106"/>
      <c r="AX101" s="1106"/>
      <c r="AY101" s="1106"/>
      <c r="AZ101" s="1106"/>
      <c r="BA101" s="1106"/>
      <c r="BB101" s="1106"/>
      <c r="BC101" s="1106"/>
      <c r="BD101" s="1106"/>
      <c r="BE101" s="1106"/>
      <c r="BF101" s="1106"/>
      <c r="BG101" s="1106"/>
      <c r="BH101" s="1106"/>
      <c r="BI101" s="1106"/>
      <c r="BJ101" s="1106"/>
      <c r="BK101" s="1106"/>
      <c r="BL101" s="1106"/>
      <c r="BM101" s="1106"/>
      <c r="BN101" s="1106"/>
      <c r="BO101" s="1106"/>
      <c r="BP101" s="1106"/>
      <c r="BQ101" s="1106"/>
      <c r="BR101" s="1106"/>
      <c r="BS101" s="1106"/>
      <c r="BT101" s="1106"/>
      <c r="BU101" s="1106"/>
      <c r="BV101" s="1106"/>
      <c r="BW101" s="1106"/>
      <c r="BX101" s="1106"/>
      <c r="BY101" s="1106"/>
      <c r="BZ101" s="1106"/>
      <c r="CA101" s="1106"/>
      <c r="CB101" s="1106"/>
      <c r="CC101" s="1106"/>
      <c r="CD101" s="1106"/>
      <c r="CE101" s="1106"/>
      <c r="CF101" s="1106"/>
      <c r="CG101" s="1106"/>
      <c r="CH101" s="1106"/>
      <c r="CI101" s="1106"/>
      <c r="CJ101" s="1106"/>
      <c r="CK101" s="1106"/>
      <c r="CL101" s="1108"/>
      <c r="CM101" s="1108"/>
      <c r="CN101" s="1108"/>
      <c r="CO101" s="1108"/>
      <c r="CP101" s="1108"/>
      <c r="CQ101" s="1108"/>
      <c r="CR101" s="1108"/>
      <c r="CS101" s="1108"/>
      <c r="CT101" s="1108"/>
      <c r="CU101" s="1108"/>
      <c r="CV101" s="1108"/>
      <c r="CW101" s="1108"/>
      <c r="CX101" s="1108"/>
      <c r="CY101" s="1108"/>
      <c r="CZ101" s="1108"/>
      <c r="DA101" s="1108"/>
      <c r="DB101" s="1108"/>
      <c r="DC101" s="1108"/>
      <c r="DD101" s="1108"/>
      <c r="DE101" s="1108"/>
      <c r="DF101" s="1108"/>
      <c r="DG101" s="1108"/>
      <c r="DH101" s="1108"/>
      <c r="DI101" s="1108"/>
      <c r="DJ101" s="1108"/>
      <c r="DK101" s="1108"/>
      <c r="DL101" s="1108"/>
      <c r="DM101" s="1108"/>
      <c r="DN101" s="1108"/>
      <c r="DO101" s="1108"/>
      <c r="DP101" s="1108"/>
      <c r="DQ101" s="1108"/>
      <c r="DR101" s="1108"/>
      <c r="DS101" s="1108"/>
      <c r="DT101" s="1108"/>
      <c r="DU101" s="1108"/>
      <c r="DV101" s="1108"/>
      <c r="DW101" s="1108"/>
      <c r="DX101" s="1108"/>
      <c r="DY101" s="1108"/>
      <c r="DZ101" s="1108"/>
      <c r="EA101" s="1108"/>
      <c r="EB101" s="1108"/>
      <c r="EC101" s="1108"/>
      <c r="ED101" s="1108"/>
      <c r="EE101" s="1108"/>
      <c r="EF101" s="1108"/>
      <c r="EG101" s="1108"/>
      <c r="EH101" s="1108"/>
      <c r="EI101" s="1108"/>
      <c r="EJ101" s="1108"/>
      <c r="EK101" s="1108"/>
      <c r="EL101" s="1108"/>
      <c r="EM101" s="1108"/>
      <c r="EN101" s="1108"/>
      <c r="EO101" s="1108"/>
      <c r="EP101" s="1108"/>
      <c r="EQ101" s="1108"/>
      <c r="ER101" s="1108"/>
      <c r="ES101" s="1108"/>
      <c r="ET101" s="1108"/>
      <c r="EU101" s="1108"/>
      <c r="EV101" s="1108"/>
      <c r="EW101" s="1108"/>
      <c r="EX101" s="1108"/>
      <c r="EY101" s="1108"/>
      <c r="EZ101" s="1108"/>
      <c r="FA101" s="1108"/>
      <c r="FB101" s="1108"/>
      <c r="FC101" s="1108"/>
      <c r="FD101" s="1108"/>
      <c r="FE101" s="1108"/>
      <c r="FF101" s="1108"/>
      <c r="FG101" s="1108"/>
      <c r="FH101" s="1108"/>
      <c r="FI101" s="1108"/>
      <c r="FJ101" s="1108"/>
      <c r="FK101" s="1108"/>
      <c r="FL101" s="1108"/>
      <c r="FM101" s="1108"/>
      <c r="FN101" s="1108"/>
      <c r="FO101" s="1108"/>
      <c r="FP101" s="1108"/>
      <c r="FQ101" s="1108"/>
      <c r="FR101" s="1108"/>
      <c r="FS101" s="1108"/>
      <c r="FT101" s="1108"/>
      <c r="FU101" s="1108"/>
      <c r="FV101" s="1109"/>
      <c r="FW101" s="1103"/>
      <c r="FX101" s="1104"/>
    </row>
    <row r="102" spans="1:184" s="2030" customFormat="1" ht="24.75" customHeight="1">
      <c r="B102" s="835"/>
      <c r="C102" s="836"/>
      <c r="D102" s="836"/>
      <c r="E102" s="1743"/>
      <c r="F102" s="1110">
        <v>1</v>
      </c>
      <c r="G102" s="1111"/>
      <c r="H102" s="1112"/>
      <c r="I102" s="1120"/>
      <c r="J102" s="1113"/>
      <c r="K102" s="1113"/>
      <c r="L102" s="1113"/>
      <c r="M102" s="1113"/>
      <c r="N102" s="1113"/>
      <c r="O102" s="1114"/>
      <c r="P102" s="1114"/>
      <c r="Q102" s="1114"/>
      <c r="R102" s="1114"/>
      <c r="S102" s="1114"/>
      <c r="T102" s="1114"/>
      <c r="U102" s="1114"/>
      <c r="V102" s="1114"/>
      <c r="W102" s="1114"/>
      <c r="X102" s="1114"/>
      <c r="Y102" s="1114"/>
      <c r="Z102" s="1114"/>
      <c r="AA102" s="1114"/>
      <c r="AB102" s="1114"/>
      <c r="AC102" s="1113"/>
      <c r="AD102" s="1113"/>
      <c r="AE102" s="1113"/>
      <c r="AF102" s="1113"/>
      <c r="AG102" s="1113"/>
      <c r="AH102" s="1113"/>
      <c r="AI102" s="1113"/>
      <c r="AJ102" s="1113"/>
      <c r="AK102" s="1113"/>
      <c r="AL102" s="1113"/>
      <c r="AM102" s="1113"/>
      <c r="AN102" s="1113"/>
      <c r="AO102" s="1113"/>
      <c r="AP102" s="1113"/>
      <c r="AQ102" s="1113"/>
      <c r="AR102" s="1113"/>
      <c r="AS102" s="1113"/>
      <c r="AT102" s="1113"/>
      <c r="AU102" s="1113"/>
      <c r="AV102" s="1113"/>
      <c r="AW102" s="1113"/>
      <c r="AX102" s="1113"/>
      <c r="AY102" s="1113"/>
      <c r="AZ102" s="1113"/>
      <c r="BA102" s="1113"/>
      <c r="BB102" s="1113"/>
      <c r="BC102" s="1113"/>
      <c r="BD102" s="1113"/>
      <c r="BE102" s="1113"/>
      <c r="BF102" s="1113"/>
      <c r="BG102" s="1113"/>
      <c r="BH102" s="1113"/>
      <c r="BI102" s="1113"/>
      <c r="BJ102" s="1113"/>
      <c r="BK102" s="1113"/>
      <c r="BL102" s="1113"/>
      <c r="BM102" s="1113"/>
      <c r="BN102" s="1113"/>
      <c r="BO102" s="1113"/>
      <c r="BP102" s="1113"/>
      <c r="BQ102" s="1113"/>
      <c r="BR102" s="1113"/>
      <c r="BS102" s="1113"/>
      <c r="BT102" s="1115"/>
      <c r="BU102" s="1115"/>
      <c r="BV102" s="1115"/>
      <c r="BW102" s="1115"/>
      <c r="BX102" s="1115"/>
      <c r="BY102" s="1115"/>
      <c r="BZ102" s="1115"/>
      <c r="CA102" s="1115"/>
      <c r="CB102" s="1115"/>
      <c r="CC102" s="1115"/>
      <c r="CD102" s="1115"/>
      <c r="CE102" s="1115"/>
      <c r="CF102" s="1115"/>
      <c r="CG102" s="1115"/>
      <c r="CH102" s="1115"/>
      <c r="CI102" s="1115"/>
      <c r="CJ102" s="1115"/>
      <c r="CK102" s="1115"/>
      <c r="CL102" s="1113"/>
      <c r="CM102" s="1113"/>
      <c r="CN102" s="1113"/>
      <c r="CO102" s="1113"/>
      <c r="CP102" s="1113"/>
      <c r="CQ102" s="1113"/>
      <c r="CR102" s="1113"/>
      <c r="CS102" s="1113"/>
      <c r="CT102" s="1113"/>
      <c r="CU102" s="1113"/>
      <c r="CV102" s="1113"/>
      <c r="CW102" s="1113"/>
      <c r="CX102" s="1113"/>
      <c r="CY102" s="1114"/>
      <c r="CZ102" s="1114"/>
      <c r="DA102" s="1114"/>
      <c r="DB102" s="1114"/>
      <c r="DC102" s="1114"/>
      <c r="DD102" s="1114"/>
      <c r="DE102" s="1114"/>
      <c r="DF102" s="1114"/>
      <c r="DG102" s="1114"/>
      <c r="DH102" s="1114"/>
      <c r="DI102" s="1114"/>
      <c r="DJ102" s="1114"/>
      <c r="DK102" s="1113"/>
      <c r="DL102" s="1113"/>
      <c r="DM102" s="1113"/>
      <c r="DN102" s="1113"/>
      <c r="DO102" s="1113"/>
      <c r="DP102" s="1113"/>
      <c r="DQ102" s="1113"/>
      <c r="DR102" s="1113"/>
      <c r="DS102" s="1113"/>
      <c r="DT102" s="1113"/>
      <c r="DU102" s="1113"/>
      <c r="DV102" s="1113"/>
      <c r="DW102" s="1113"/>
      <c r="DX102" s="1113"/>
      <c r="DY102" s="1113"/>
      <c r="DZ102" s="1113"/>
      <c r="EA102" s="1113"/>
      <c r="EB102" s="1113"/>
      <c r="EC102" s="1113"/>
      <c r="ED102" s="1113"/>
      <c r="EE102" s="1113"/>
      <c r="EF102" s="1113"/>
      <c r="EG102" s="1113"/>
      <c r="EH102" s="1113"/>
      <c r="EI102" s="1113"/>
      <c r="EJ102" s="1113"/>
      <c r="EK102" s="1113"/>
      <c r="EL102" s="1113"/>
      <c r="EM102" s="1113"/>
      <c r="EN102" s="1113"/>
      <c r="EO102" s="1113"/>
      <c r="EP102" s="1113"/>
      <c r="EQ102" s="1113"/>
      <c r="ER102" s="1113"/>
      <c r="ES102" s="1113"/>
      <c r="ET102" s="1113"/>
      <c r="EU102" s="1113"/>
      <c r="EV102" s="1113"/>
      <c r="EW102" s="1113"/>
      <c r="EX102" s="1113"/>
      <c r="EY102" s="1113"/>
      <c r="EZ102" s="1113"/>
      <c r="FA102" s="1113"/>
      <c r="FB102" s="1113"/>
      <c r="FC102" s="1113"/>
      <c r="FD102" s="1113"/>
      <c r="FE102" s="1113"/>
      <c r="FF102" s="1113"/>
      <c r="FG102" s="1113"/>
      <c r="FH102" s="1113"/>
      <c r="FI102" s="1113"/>
      <c r="FJ102" s="1113"/>
      <c r="FK102" s="1113"/>
      <c r="FL102" s="1113"/>
      <c r="FM102" s="1113"/>
      <c r="FN102" s="1113"/>
      <c r="FO102" s="1113"/>
      <c r="FP102" s="1113"/>
      <c r="FQ102" s="1113"/>
      <c r="FR102" s="1113"/>
      <c r="FS102" s="1113"/>
      <c r="FT102" s="1113"/>
      <c r="FU102" s="1113"/>
      <c r="FV102" s="1113"/>
      <c r="FW102" s="1113"/>
      <c r="FX102" s="1104"/>
    </row>
    <row r="103" spans="1:184" s="2030" customFormat="1" ht="12" customHeight="1">
      <c r="A103" s="836"/>
      <c r="B103" s="835"/>
      <c r="C103" s="836"/>
      <c r="D103" s="836"/>
      <c r="E103" s="836"/>
      <c r="F103" s="1116"/>
      <c r="G103" s="1710" t="s">
        <v>1156</v>
      </c>
      <c r="H103" s="1117"/>
      <c r="I103" s="1117"/>
      <c r="J103" s="1117"/>
      <c r="K103" s="1117"/>
      <c r="L103" s="1117"/>
      <c r="M103" s="1117"/>
      <c r="N103" s="1117"/>
      <c r="O103" s="1117"/>
      <c r="P103" s="1117"/>
      <c r="Q103" s="1117"/>
      <c r="R103" s="1117"/>
      <c r="S103" s="1117"/>
      <c r="T103" s="1117"/>
      <c r="U103" s="1117"/>
      <c r="V103" s="1117"/>
      <c r="W103" s="1117"/>
      <c r="X103" s="1117"/>
      <c r="Y103" s="1117"/>
      <c r="Z103" s="1117"/>
      <c r="AA103" s="1117"/>
      <c r="AB103" s="1117"/>
      <c r="AC103" s="1117"/>
      <c r="AD103" s="1117"/>
      <c r="AE103" s="1117"/>
      <c r="AF103" s="1117"/>
      <c r="AG103" s="1117"/>
      <c r="AH103" s="1117"/>
      <c r="AI103" s="1117"/>
      <c r="AJ103" s="1117"/>
      <c r="AK103" s="1117"/>
      <c r="AL103" s="1117"/>
      <c r="AM103" s="1117"/>
      <c r="AN103" s="1117"/>
      <c r="AO103" s="1117"/>
      <c r="AP103" s="1117"/>
      <c r="AQ103" s="1117"/>
      <c r="AR103" s="1117"/>
      <c r="AS103" s="1117"/>
      <c r="AT103" s="1117"/>
      <c r="AU103" s="1117"/>
      <c r="AV103" s="1117"/>
      <c r="AW103" s="1117"/>
      <c r="AX103" s="1117"/>
      <c r="AY103" s="1117"/>
      <c r="AZ103" s="1117"/>
      <c r="BA103" s="1117"/>
      <c r="BB103" s="1117"/>
      <c r="BC103" s="1117"/>
      <c r="BD103" s="1117"/>
      <c r="BE103" s="1117"/>
      <c r="BF103" s="1117"/>
      <c r="BG103" s="1117"/>
      <c r="BH103" s="1117"/>
      <c r="BI103" s="1117"/>
      <c r="BJ103" s="1117"/>
      <c r="BK103" s="1117"/>
      <c r="BL103" s="1117"/>
      <c r="BM103" s="1117"/>
      <c r="BN103" s="1117"/>
      <c r="BO103" s="1117"/>
      <c r="BP103" s="1117"/>
      <c r="BQ103" s="1117"/>
      <c r="BR103" s="1117"/>
      <c r="BS103" s="1117"/>
      <c r="BT103" s="1117"/>
      <c r="BU103" s="1117"/>
      <c r="BV103" s="1117"/>
      <c r="BW103" s="1117"/>
      <c r="BX103" s="1117"/>
      <c r="BY103" s="1117"/>
      <c r="BZ103" s="1117"/>
      <c r="CA103" s="1117"/>
      <c r="CB103" s="1117"/>
      <c r="CC103" s="1117"/>
      <c r="CD103" s="1117"/>
      <c r="CE103" s="1117"/>
      <c r="CF103" s="1117"/>
      <c r="CG103" s="1117"/>
      <c r="CH103" s="1117"/>
      <c r="CI103" s="1117"/>
      <c r="CJ103" s="1117"/>
      <c r="CK103" s="1117"/>
      <c r="CL103" s="1117"/>
      <c r="CM103" s="1117"/>
      <c r="CN103" s="1117"/>
      <c r="CO103" s="1117"/>
      <c r="CP103" s="1117"/>
      <c r="CQ103" s="1117"/>
      <c r="CR103" s="1117"/>
      <c r="CS103" s="1117"/>
      <c r="CT103" s="1117"/>
      <c r="CU103" s="1117"/>
      <c r="CV103" s="1117"/>
      <c r="CW103" s="1117"/>
      <c r="CX103" s="1117"/>
      <c r="CY103" s="1117"/>
      <c r="CZ103" s="1117"/>
      <c r="DA103" s="1117"/>
      <c r="DB103" s="1117"/>
      <c r="DC103" s="1117"/>
      <c r="DD103" s="1117"/>
      <c r="DE103" s="1117"/>
      <c r="DF103" s="1117"/>
      <c r="DG103" s="1117"/>
      <c r="DH103" s="1117"/>
      <c r="DI103" s="1117"/>
      <c r="DJ103" s="1117"/>
      <c r="DK103" s="1117"/>
      <c r="DL103" s="1117"/>
      <c r="DM103" s="1117"/>
      <c r="DN103" s="1117"/>
      <c r="DO103" s="1117"/>
      <c r="DP103" s="1117"/>
      <c r="DQ103" s="1117"/>
      <c r="DR103" s="1117"/>
      <c r="DS103" s="1117"/>
      <c r="DT103" s="1117"/>
      <c r="DU103" s="1117"/>
      <c r="DV103" s="1117"/>
      <c r="DW103" s="1117"/>
      <c r="DX103" s="1117"/>
      <c r="DY103" s="1117"/>
      <c r="DZ103" s="1117"/>
      <c r="EA103" s="1117"/>
      <c r="EB103" s="1117"/>
      <c r="EC103" s="1117"/>
      <c r="ED103" s="1117"/>
      <c r="EE103" s="1117"/>
      <c r="EF103" s="1117"/>
      <c r="EG103" s="1117"/>
      <c r="EH103" s="1117"/>
      <c r="EI103" s="1117"/>
      <c r="EJ103" s="1117"/>
      <c r="EK103" s="1117"/>
      <c r="EL103" s="1117"/>
      <c r="EM103" s="1117"/>
      <c r="EN103" s="1117"/>
      <c r="EO103" s="1117"/>
      <c r="EP103" s="1117"/>
      <c r="EQ103" s="1117"/>
      <c r="ER103" s="1117"/>
      <c r="ES103" s="1117"/>
      <c r="ET103" s="1117"/>
      <c r="EU103" s="1117"/>
      <c r="EV103" s="1117"/>
      <c r="EW103" s="1117"/>
      <c r="EX103" s="1117"/>
      <c r="EY103" s="1117"/>
      <c r="EZ103" s="1117"/>
      <c r="FA103" s="1117"/>
      <c r="FB103" s="1117"/>
      <c r="FC103" s="1117"/>
      <c r="FD103" s="1117"/>
      <c r="FE103" s="1117"/>
      <c r="FF103" s="1117"/>
      <c r="FG103" s="1117"/>
      <c r="FH103" s="1117"/>
      <c r="FI103" s="1117"/>
      <c r="FJ103" s="1117"/>
      <c r="FK103" s="1117"/>
      <c r="FL103" s="1117"/>
      <c r="FM103" s="1117"/>
      <c r="FN103" s="1117"/>
      <c r="FO103" s="1117"/>
      <c r="FP103" s="1117"/>
      <c r="FQ103" s="1117"/>
      <c r="FR103" s="1117"/>
      <c r="FS103" s="1117"/>
      <c r="FT103" s="1117"/>
      <c r="FU103" s="1117"/>
      <c r="FV103" s="1117"/>
      <c r="FW103" s="1118"/>
      <c r="FX103" s="1119"/>
      <c r="FY103" s="850"/>
      <c r="FZ103" s="850"/>
      <c r="GA103" s="850"/>
      <c r="GB103" s="850"/>
    </row>
    <row r="105" spans="1:184" s="2070" customFormat="1" ht="11.25" customHeight="1">
      <c r="A105" s="1725" t="s">
        <v>1157</v>
      </c>
    </row>
    <row r="107" spans="1:184" s="1831" customFormat="1" ht="15" customHeight="1">
      <c r="A107" s="544"/>
      <c r="B107" s="545"/>
      <c r="C107" s="545"/>
      <c r="D107" s="2500" t="s">
        <v>108</v>
      </c>
      <c r="E107" s="2352" t="s">
        <v>104</v>
      </c>
      <c r="F107" s="2353"/>
      <c r="G107" s="2354"/>
      <c r="H107" s="2358" t="str">
        <f>IF(A107="","",INDEX(DIFFERENTIATION_UNMERGE_VD,MATCH(A107,DIFFERENTIATION_ID_DIFF,0)))</f>
        <v/>
      </c>
      <c r="I107" s="2358"/>
      <c r="J107" s="2358"/>
      <c r="K107" s="2358"/>
      <c r="L107" s="2358"/>
      <c r="M107" s="2358"/>
      <c r="N107" s="2358"/>
      <c r="O107" s="2358"/>
      <c r="P107" s="2358"/>
      <c r="Q107" s="2358"/>
      <c r="R107" s="2358"/>
      <c r="S107" s="638"/>
      <c r="T107" s="635"/>
      <c r="U107" s="546"/>
      <c r="V107" s="546"/>
      <c r="W107" s="547"/>
      <c r="X107" s="547"/>
      <c r="Y107" s="547"/>
      <c r="Z107" s="547"/>
      <c r="AA107" s="548"/>
      <c r="AB107" s="549"/>
      <c r="AC107" s="2350"/>
      <c r="AD107" s="550"/>
      <c r="AE107" s="551" t="s">
        <v>24</v>
      </c>
      <c r="AF107" s="551"/>
      <c r="AG107" s="552" t="s">
        <v>593</v>
      </c>
      <c r="AH107" s="553">
        <v>3</v>
      </c>
      <c r="AI107" s="546"/>
      <c r="AJ107" s="546"/>
      <c r="AK107" s="546"/>
      <c r="AL107" s="546"/>
      <c r="AM107" s="546"/>
      <c r="AN107" s="546"/>
      <c r="AO107" s="546"/>
      <c r="AP107" s="546"/>
      <c r="AQ107" s="546"/>
      <c r="AR107" s="546"/>
      <c r="AS107" s="546"/>
      <c r="AT107" s="546"/>
      <c r="AU107" s="546"/>
      <c r="AV107" s="546"/>
      <c r="AW107" s="546"/>
      <c r="AX107" s="546"/>
      <c r="AY107" s="546"/>
      <c r="AZ107" s="546"/>
      <c r="BA107" s="546"/>
      <c r="BB107" s="546"/>
      <c r="BC107" s="546"/>
      <c r="BD107" s="546"/>
      <c r="BE107" s="546"/>
      <c r="BF107" s="546"/>
      <c r="BG107" s="546"/>
      <c r="BH107" s="546"/>
      <c r="BI107" s="546"/>
      <c r="BJ107" s="546"/>
      <c r="BK107" s="546"/>
      <c r="BL107" s="546"/>
      <c r="BM107" s="546"/>
      <c r="BN107" s="546"/>
      <c r="BO107" s="546"/>
      <c r="BP107" s="546"/>
      <c r="BQ107" s="546"/>
      <c r="BR107" s="546"/>
      <c r="BS107" s="546"/>
      <c r="BT107" s="546"/>
      <c r="BU107" s="546"/>
      <c r="BV107" s="547"/>
      <c r="BW107" s="547"/>
      <c r="BX107" s="547"/>
      <c r="BY107" s="547"/>
      <c r="BZ107" s="547"/>
      <c r="CA107" s="547"/>
      <c r="CB107" s="547"/>
      <c r="CC107" s="547"/>
      <c r="CD107" s="547"/>
      <c r="CE107" s="547"/>
    </row>
    <row r="108" spans="1:184" s="1831" customFormat="1" ht="15" customHeight="1">
      <c r="A108" s="544"/>
      <c r="B108" s="545"/>
      <c r="C108" s="545"/>
      <c r="D108" s="2501"/>
      <c r="E108" s="2352" t="s">
        <v>548</v>
      </c>
      <c r="F108" s="2353"/>
      <c r="G108" s="2354"/>
      <c r="H108" s="2358" t="str">
        <f>IF(A107="","",INDEX(DIFFERENTIATION_UNMERGE_AREA,MATCH(A107,DIFFERENTIATION_ID_DIFF,0)))</f>
        <v/>
      </c>
      <c r="I108" s="2358"/>
      <c r="J108" s="2358"/>
      <c r="K108" s="2358"/>
      <c r="L108" s="2358"/>
      <c r="M108" s="2358"/>
      <c r="N108" s="2358"/>
      <c r="O108" s="2358"/>
      <c r="P108" s="2358"/>
      <c r="Q108" s="2358"/>
      <c r="R108" s="2358"/>
      <c r="S108" s="638"/>
      <c r="T108" s="635"/>
      <c r="U108" s="546"/>
      <c r="V108" s="546"/>
      <c r="W108" s="547"/>
      <c r="X108" s="547"/>
      <c r="Y108" s="547"/>
      <c r="Z108" s="547"/>
      <c r="AA108" s="548"/>
      <c r="AB108" s="549"/>
      <c r="AC108" s="2350"/>
      <c r="AD108" s="550"/>
      <c r="AE108" s="551"/>
      <c r="AF108" s="551"/>
      <c r="AG108" s="552"/>
      <c r="AH108" s="553"/>
      <c r="AI108" s="546"/>
      <c r="AJ108" s="546"/>
      <c r="AK108" s="546"/>
      <c r="AL108" s="546"/>
      <c r="AM108" s="546"/>
      <c r="AN108" s="546"/>
      <c r="AO108" s="546"/>
      <c r="AP108" s="546"/>
      <c r="AQ108" s="546"/>
      <c r="AR108" s="546"/>
      <c r="AS108" s="546"/>
      <c r="AT108" s="546"/>
      <c r="AU108" s="546"/>
      <c r="AV108" s="546"/>
      <c r="AW108" s="546"/>
      <c r="AX108" s="546"/>
      <c r="AY108" s="546"/>
      <c r="AZ108" s="546"/>
      <c r="BA108" s="546"/>
      <c r="BB108" s="546"/>
      <c r="BC108" s="546"/>
      <c r="BD108" s="546"/>
      <c r="BE108" s="546"/>
      <c r="BF108" s="546"/>
      <c r="BG108" s="546"/>
      <c r="BH108" s="546"/>
      <c r="BI108" s="546"/>
      <c r="BJ108" s="546"/>
      <c r="BK108" s="546"/>
      <c r="BL108" s="546"/>
      <c r="BM108" s="546"/>
      <c r="BN108" s="546"/>
      <c r="BO108" s="546"/>
      <c r="BP108" s="546"/>
      <c r="BQ108" s="546"/>
      <c r="BR108" s="546"/>
      <c r="BS108" s="546"/>
      <c r="BT108" s="546"/>
      <c r="BU108" s="546"/>
      <c r="BV108" s="547"/>
      <c r="BW108" s="547"/>
      <c r="BX108" s="547"/>
      <c r="BY108" s="547"/>
      <c r="BZ108" s="547"/>
      <c r="CA108" s="547"/>
      <c r="CB108" s="547"/>
      <c r="CC108" s="547"/>
      <c r="CD108" s="547"/>
      <c r="CE108" s="547"/>
    </row>
    <row r="109" spans="1:184" s="1831" customFormat="1" ht="15" customHeight="1">
      <c r="A109" s="544"/>
      <c r="B109" s="545"/>
      <c r="C109" s="545"/>
      <c r="D109" s="2501"/>
      <c r="E109" s="2352" t="s">
        <v>549</v>
      </c>
      <c r="F109" s="2353"/>
      <c r="G109" s="2354"/>
      <c r="H109" s="2358" t="str">
        <f>IF(A107="","",INDEX(DIFFERENTIATION_UNMERGE_SYSTEM,MATCH(A107,DIFFERENTIATION_ID_DIFF,0)))</f>
        <v/>
      </c>
      <c r="I109" s="2358"/>
      <c r="J109" s="2358"/>
      <c r="K109" s="2358"/>
      <c r="L109" s="2358"/>
      <c r="M109" s="2358"/>
      <c r="N109" s="2358"/>
      <c r="O109" s="2358"/>
      <c r="P109" s="2358"/>
      <c r="Q109" s="2358"/>
      <c r="R109" s="2358"/>
      <c r="S109" s="638"/>
      <c r="T109" s="635"/>
      <c r="U109" s="546"/>
      <c r="V109" s="546"/>
      <c r="W109" s="547"/>
      <c r="X109" s="547"/>
      <c r="Y109" s="547"/>
      <c r="Z109" s="547"/>
      <c r="AA109" s="548"/>
      <c r="AB109" s="549"/>
      <c r="AC109" s="2350"/>
      <c r="AD109" s="550"/>
      <c r="AE109" s="551"/>
      <c r="AF109" s="551"/>
      <c r="AG109" s="552"/>
      <c r="AH109" s="553"/>
      <c r="AI109" s="546"/>
      <c r="AJ109" s="546"/>
      <c r="AK109" s="546"/>
      <c r="AL109" s="546"/>
      <c r="AM109" s="546"/>
      <c r="AN109" s="546"/>
      <c r="AO109" s="546"/>
      <c r="AP109" s="546"/>
      <c r="AQ109" s="546"/>
      <c r="AR109" s="546"/>
      <c r="AS109" s="546"/>
      <c r="AT109" s="546"/>
      <c r="AU109" s="546"/>
      <c r="AV109" s="546"/>
      <c r="AW109" s="546"/>
      <c r="AX109" s="546"/>
      <c r="AY109" s="546"/>
      <c r="AZ109" s="546"/>
      <c r="BA109" s="546"/>
      <c r="BB109" s="546"/>
      <c r="BC109" s="546"/>
      <c r="BD109" s="546"/>
      <c r="BE109" s="546"/>
      <c r="BF109" s="546"/>
      <c r="BG109" s="546"/>
      <c r="BH109" s="546"/>
      <c r="BI109" s="546"/>
      <c r="BJ109" s="546"/>
      <c r="BK109" s="546"/>
      <c r="BL109" s="546"/>
      <c r="BM109" s="546"/>
      <c r="BN109" s="546"/>
      <c r="BO109" s="546"/>
      <c r="BP109" s="546"/>
      <c r="BQ109" s="546"/>
      <c r="BR109" s="546"/>
      <c r="BS109" s="546"/>
      <c r="BT109" s="546"/>
      <c r="BU109" s="546"/>
      <c r="BV109" s="547"/>
      <c r="BW109" s="547"/>
      <c r="BX109" s="547"/>
      <c r="BY109" s="547"/>
      <c r="BZ109" s="547"/>
      <c r="CA109" s="547"/>
      <c r="CB109" s="547"/>
      <c r="CC109" s="547"/>
      <c r="CD109" s="547"/>
      <c r="CE109" s="547"/>
    </row>
    <row r="110" spans="1:184" s="1831" customFormat="1" ht="24.75" customHeight="1">
      <c r="A110" s="1716"/>
      <c r="B110" s="1060"/>
      <c r="C110" s="346"/>
      <c r="D110" s="2501"/>
      <c r="E110" s="2351" t="s">
        <v>594</v>
      </c>
      <c r="F110" s="2351"/>
      <c r="G110" s="2351"/>
      <c r="H110" s="2351"/>
      <c r="I110" s="2351"/>
      <c r="J110" s="2351"/>
      <c r="K110" s="2351"/>
      <c r="L110" s="2351"/>
      <c r="M110" s="2351"/>
      <c r="N110" s="2351"/>
      <c r="O110" s="2351"/>
      <c r="P110" s="2351"/>
      <c r="Q110" s="483">
        <f>SUMIF(T111:T112,"i",Q111:Q112)</f>
        <v>0</v>
      </c>
      <c r="R110" s="924"/>
      <c r="S110" s="1708" t="s">
        <v>595</v>
      </c>
      <c r="T110" s="636" t="s">
        <v>596</v>
      </c>
      <c r="U110" s="2269">
        <v>1</v>
      </c>
      <c r="V110" s="2269" t="s">
        <v>559</v>
      </c>
      <c r="W110" s="1060"/>
      <c r="X110" s="1060"/>
      <c r="Y110" s="1060"/>
      <c r="Z110" s="1060"/>
      <c r="AA110" s="1548"/>
      <c r="AB110" s="1060"/>
      <c r="AC110" s="2350"/>
      <c r="AD110" s="550"/>
      <c r="AE110" s="1060"/>
      <c r="AF110" s="1060"/>
      <c r="AG110" s="1548"/>
      <c r="AH110" s="1548"/>
      <c r="AI110" s="1548"/>
      <c r="AJ110" s="1548"/>
      <c r="AK110" s="1548"/>
      <c r="AL110" s="1548"/>
      <c r="AM110" s="1548"/>
      <c r="AN110" s="1548"/>
      <c r="AO110" s="1548"/>
      <c r="AP110" s="1548"/>
      <c r="AQ110" s="1548"/>
      <c r="AR110" s="1548"/>
      <c r="AS110" s="1548"/>
      <c r="AT110" s="1548"/>
      <c r="AU110" s="1548"/>
      <c r="AV110" s="1548"/>
      <c r="AW110" s="1548"/>
      <c r="AX110" s="1548"/>
      <c r="AY110" s="1548"/>
      <c r="AZ110" s="1548"/>
      <c r="BA110" s="1548"/>
      <c r="BB110" s="1548"/>
      <c r="BC110" s="1548"/>
      <c r="BD110" s="1548"/>
      <c r="BE110" s="1548"/>
      <c r="BF110" s="1548"/>
      <c r="BG110" s="1548"/>
      <c r="BH110" s="1548"/>
      <c r="BI110" s="1548"/>
      <c r="BJ110" s="1548"/>
      <c r="BK110" s="1548"/>
      <c r="BL110" s="1548"/>
      <c r="BM110" s="1548"/>
      <c r="BN110" s="1548"/>
      <c r="BO110" s="1548"/>
      <c r="BP110" s="1548"/>
      <c r="BQ110" s="1548"/>
      <c r="BR110" s="1548"/>
      <c r="BS110" s="1548"/>
      <c r="BT110" s="1548"/>
      <c r="BU110" s="1548"/>
      <c r="BV110" s="1060"/>
      <c r="BW110" s="1060"/>
      <c r="BX110" s="1060"/>
      <c r="BY110" s="1060"/>
      <c r="BZ110" s="1060"/>
      <c r="CA110" s="1060"/>
      <c r="CB110" s="1060"/>
      <c r="CC110" s="1060"/>
      <c r="CD110" s="1060"/>
      <c r="CE110" s="1060"/>
    </row>
    <row r="111" spans="1:184" s="1831" customFormat="1" ht="11.25" hidden="1" customHeight="1">
      <c r="A111" s="1703"/>
      <c r="B111" s="1548"/>
      <c r="C111" s="1548"/>
      <c r="D111" s="2501"/>
      <c r="E111" s="556"/>
      <c r="F111" s="556">
        <v>0</v>
      </c>
      <c r="G111" s="556"/>
      <c r="H111" s="556"/>
      <c r="I111" s="556"/>
      <c r="J111" s="556"/>
      <c r="K111" s="556"/>
      <c r="L111" s="556"/>
      <c r="M111" s="556"/>
      <c r="N111" s="556"/>
      <c r="O111" s="556"/>
      <c r="P111" s="556"/>
      <c r="Q111" s="556"/>
      <c r="R111" s="556"/>
      <c r="S111" s="557"/>
      <c r="T111" s="637"/>
      <c r="U111" s="2269"/>
      <c r="V111" s="2269"/>
      <c r="W111" s="1548"/>
      <c r="X111" s="1548"/>
      <c r="Y111" s="1548"/>
      <c r="Z111" s="1548"/>
      <c r="AA111" s="1548"/>
      <c r="AB111" s="1060"/>
      <c r="AC111" s="2350"/>
      <c r="AD111" s="550"/>
      <c r="AE111" s="1060"/>
      <c r="AF111" s="1060"/>
      <c r="AG111" s="1548"/>
      <c r="AH111" s="1548"/>
      <c r="AI111" s="1548"/>
      <c r="AJ111" s="1548"/>
      <c r="AK111" s="1548"/>
      <c r="AL111" s="1548"/>
      <c r="AM111" s="1548"/>
      <c r="AN111" s="1548"/>
      <c r="AO111" s="1548"/>
      <c r="AP111" s="1548"/>
      <c r="AQ111" s="1548"/>
      <c r="AR111" s="1548"/>
      <c r="AS111" s="1548"/>
      <c r="AT111" s="1548"/>
      <c r="AU111" s="1548"/>
      <c r="AV111" s="1548"/>
      <c r="AW111" s="1548"/>
      <c r="AX111" s="1548"/>
      <c r="AY111" s="1548"/>
      <c r="AZ111" s="1548"/>
      <c r="BA111" s="1548"/>
      <c r="BB111" s="1548"/>
      <c r="BC111" s="1548"/>
      <c r="BD111" s="1548"/>
      <c r="BE111" s="1548"/>
      <c r="BF111" s="1548"/>
      <c r="BG111" s="1548"/>
      <c r="BH111" s="1548"/>
      <c r="BI111" s="1548"/>
      <c r="BJ111" s="1548"/>
      <c r="BK111" s="1548"/>
      <c r="BL111" s="1548"/>
      <c r="BM111" s="1548"/>
      <c r="BN111" s="1548"/>
      <c r="BO111" s="1548"/>
      <c r="BP111" s="1548"/>
      <c r="BQ111" s="1548"/>
      <c r="BR111" s="1548"/>
      <c r="BS111" s="1548"/>
      <c r="BT111" s="1548"/>
      <c r="BU111" s="1548"/>
      <c r="BV111" s="1548"/>
      <c r="BW111" s="1548"/>
      <c r="BX111" s="1548"/>
      <c r="BY111" s="1548"/>
      <c r="BZ111" s="1548"/>
      <c r="CA111" s="1548"/>
      <c r="CB111" s="1548"/>
      <c r="CC111" s="1548"/>
      <c r="CD111" s="1548"/>
      <c r="CE111" s="1548"/>
    </row>
    <row r="112" spans="1:184" s="1831" customFormat="1" ht="11.25" customHeight="1">
      <c r="A112" s="1716"/>
      <c r="B112" s="1060"/>
      <c r="C112" s="346"/>
      <c r="D112" s="2501"/>
      <c r="E112" s="570" t="s">
        <v>24</v>
      </c>
      <c r="F112" s="1068" t="s">
        <v>24</v>
      </c>
      <c r="G112" s="1068" t="s">
        <v>1158</v>
      </c>
      <c r="H112" s="572" t="s">
        <v>24</v>
      </c>
      <c r="I112" s="572"/>
      <c r="J112" s="572"/>
      <c r="K112" s="572"/>
      <c r="L112" s="572"/>
      <c r="M112" s="572"/>
      <c r="N112" s="572"/>
      <c r="O112" s="572"/>
      <c r="P112" s="572"/>
      <c r="Q112" s="572"/>
      <c r="R112" s="573"/>
      <c r="S112" s="574"/>
      <c r="T112" s="637"/>
      <c r="U112" s="2269"/>
      <c r="V112" s="2269"/>
      <c r="W112" s="1060"/>
      <c r="X112" s="1060"/>
      <c r="Y112" s="1060"/>
      <c r="Z112" s="1060"/>
      <c r="AA112" s="1548"/>
      <c r="AB112" s="1060"/>
      <c r="AC112" s="2350"/>
      <c r="AD112" s="550"/>
      <c r="AE112" s="1060"/>
      <c r="AF112" s="1060"/>
      <c r="AG112" s="1548"/>
      <c r="AH112" s="1548"/>
      <c r="AI112" s="1548"/>
      <c r="AJ112" s="1548"/>
      <c r="AK112" s="1548"/>
      <c r="AL112" s="1548"/>
      <c r="AM112" s="1548"/>
      <c r="AN112" s="1548"/>
      <c r="AO112" s="1548"/>
      <c r="AP112" s="1548"/>
      <c r="AQ112" s="1548"/>
      <c r="AR112" s="1548"/>
      <c r="AS112" s="1548"/>
      <c r="AT112" s="1548"/>
      <c r="AU112" s="1548"/>
      <c r="AV112" s="1548"/>
      <c r="AW112" s="1548"/>
      <c r="AX112" s="1548"/>
      <c r="AY112" s="1548"/>
      <c r="AZ112" s="1548"/>
      <c r="BA112" s="1548"/>
      <c r="BB112" s="1548"/>
      <c r="BC112" s="1548"/>
      <c r="BD112" s="1548"/>
      <c r="BE112" s="1548"/>
      <c r="BF112" s="1548"/>
      <c r="BG112" s="1548"/>
      <c r="BH112" s="1548"/>
      <c r="BI112" s="1548"/>
      <c r="BJ112" s="1548"/>
      <c r="BK112" s="1548"/>
      <c r="BL112" s="1548"/>
      <c r="BM112" s="1548"/>
      <c r="BN112" s="1548"/>
      <c r="BO112" s="1548"/>
      <c r="BP112" s="1548"/>
      <c r="BQ112" s="1548"/>
      <c r="BR112" s="1548"/>
      <c r="BS112" s="1548"/>
      <c r="BT112" s="1548"/>
      <c r="BU112" s="1548"/>
      <c r="BV112" s="1060"/>
      <c r="BW112" s="1060"/>
      <c r="BX112" s="1060"/>
      <c r="BY112" s="1060"/>
      <c r="BZ112" s="1060"/>
      <c r="CA112" s="1060"/>
      <c r="CB112" s="1060"/>
      <c r="CC112" s="1060"/>
      <c r="CD112" s="1060"/>
      <c r="CE112" s="1060"/>
    </row>
    <row r="113" spans="1:83" s="1831" customFormat="1" ht="24.75" customHeight="1">
      <c r="A113" s="1716"/>
      <c r="B113" s="1060"/>
      <c r="C113" s="346"/>
      <c r="D113" s="2501"/>
      <c r="E113" s="2351" t="s">
        <v>597</v>
      </c>
      <c r="F113" s="2351"/>
      <c r="G113" s="2351"/>
      <c r="H113" s="2351"/>
      <c r="I113" s="2351"/>
      <c r="J113" s="2351"/>
      <c r="K113" s="2351"/>
      <c r="L113" s="2351"/>
      <c r="M113" s="2351"/>
      <c r="N113" s="2351"/>
      <c r="O113" s="2351"/>
      <c r="P113" s="2351"/>
      <c r="Q113" s="483">
        <f>SUMIF(T114:T115,"i",Q114:Q115)</f>
        <v>0</v>
      </c>
      <c r="R113" s="924"/>
      <c r="S113" s="1708" t="s">
        <v>598</v>
      </c>
      <c r="T113" s="636" t="s">
        <v>596</v>
      </c>
      <c r="U113" s="2269">
        <v>1</v>
      </c>
      <c r="V113" s="2269" t="s">
        <v>559</v>
      </c>
      <c r="W113" s="1060"/>
      <c r="X113" s="1060"/>
      <c r="Y113" s="1060"/>
      <c r="Z113" s="1060"/>
      <c r="AA113" s="1548"/>
      <c r="AB113" s="1060"/>
      <c r="AC113" s="1706"/>
      <c r="AD113" s="550"/>
      <c r="AE113" s="1060"/>
      <c r="AF113" s="1060"/>
      <c r="AG113" s="1548"/>
      <c r="AH113" s="1548"/>
      <c r="AI113" s="1548"/>
      <c r="AJ113" s="1548"/>
      <c r="AK113" s="1548"/>
      <c r="AL113" s="1548"/>
      <c r="AM113" s="1548"/>
      <c r="AN113" s="1548"/>
      <c r="AO113" s="1548"/>
      <c r="AP113" s="1548"/>
      <c r="AQ113" s="1548"/>
      <c r="AR113" s="1548"/>
      <c r="AS113" s="1548"/>
      <c r="AT113" s="1548"/>
      <c r="AU113" s="1548"/>
      <c r="AV113" s="1548"/>
      <c r="AW113" s="1548"/>
      <c r="AX113" s="1548"/>
      <c r="AY113" s="1548"/>
      <c r="AZ113" s="1548"/>
      <c r="BA113" s="1548"/>
      <c r="BB113" s="1548"/>
      <c r="BC113" s="1548"/>
      <c r="BD113" s="1548"/>
      <c r="BE113" s="1548"/>
      <c r="BF113" s="1548"/>
      <c r="BG113" s="1548"/>
      <c r="BH113" s="1548"/>
      <c r="BI113" s="1548"/>
      <c r="BJ113" s="1548"/>
      <c r="BK113" s="1548"/>
      <c r="BL113" s="1548"/>
      <c r="BM113" s="1548"/>
      <c r="BN113" s="1548"/>
      <c r="BO113" s="1548"/>
      <c r="BP113" s="1548"/>
      <c r="BQ113" s="1548"/>
      <c r="BR113" s="1548"/>
      <c r="BS113" s="1548"/>
      <c r="BT113" s="1548"/>
      <c r="BU113" s="1548"/>
      <c r="BV113" s="1060"/>
      <c r="BW113" s="1060"/>
      <c r="BX113" s="1060"/>
      <c r="BY113" s="1060"/>
      <c r="BZ113" s="1060"/>
      <c r="CA113" s="1060"/>
      <c r="CB113" s="1060"/>
      <c r="CC113" s="1060"/>
      <c r="CD113" s="1060"/>
      <c r="CE113" s="1060"/>
    </row>
    <row r="114" spans="1:83" s="1831" customFormat="1" ht="11.25" hidden="1" customHeight="1">
      <c r="A114" s="1703"/>
      <c r="B114" s="1548"/>
      <c r="C114" s="1548"/>
      <c r="D114" s="2501"/>
      <c r="E114" s="556"/>
      <c r="F114" s="556">
        <v>0</v>
      </c>
      <c r="G114" s="556"/>
      <c r="H114" s="556"/>
      <c r="I114" s="556"/>
      <c r="J114" s="556"/>
      <c r="K114" s="556"/>
      <c r="L114" s="556"/>
      <c r="M114" s="556"/>
      <c r="N114" s="556"/>
      <c r="O114" s="556"/>
      <c r="P114" s="556"/>
      <c r="Q114" s="556"/>
      <c r="R114" s="556"/>
      <c r="S114" s="557"/>
      <c r="T114" s="637"/>
      <c r="U114" s="2269"/>
      <c r="V114" s="2269"/>
      <c r="W114" s="1548"/>
      <c r="X114" s="1548"/>
      <c r="Y114" s="1548"/>
      <c r="Z114" s="1548"/>
      <c r="AA114" s="1548"/>
      <c r="AB114" s="1060"/>
      <c r="AC114" s="1706"/>
      <c r="AD114" s="550"/>
      <c r="AE114" s="1060"/>
      <c r="AF114" s="1060"/>
      <c r="AG114" s="1548"/>
      <c r="AH114" s="1548"/>
      <c r="AI114" s="1548"/>
      <c r="AJ114" s="1548"/>
      <c r="AK114" s="1548"/>
      <c r="AL114" s="1548"/>
      <c r="AM114" s="1548"/>
      <c r="AN114" s="1548"/>
      <c r="AO114" s="1548"/>
      <c r="AP114" s="1548"/>
      <c r="AQ114" s="1548"/>
      <c r="AR114" s="1548"/>
      <c r="AS114" s="1548"/>
      <c r="AT114" s="1548"/>
      <c r="AU114" s="1548"/>
      <c r="AV114" s="1548"/>
      <c r="AW114" s="1548"/>
      <c r="AX114" s="1548"/>
      <c r="AY114" s="1548"/>
      <c r="AZ114" s="1548"/>
      <c r="BA114" s="1548"/>
      <c r="BB114" s="1548"/>
      <c r="BC114" s="1548"/>
      <c r="BD114" s="1548"/>
      <c r="BE114" s="1548"/>
      <c r="BF114" s="1548"/>
      <c r="BG114" s="1548"/>
      <c r="BH114" s="1548"/>
      <c r="BI114" s="1548"/>
      <c r="BJ114" s="1548"/>
      <c r="BK114" s="1548"/>
      <c r="BL114" s="1548"/>
      <c r="BM114" s="1548"/>
      <c r="BN114" s="1548"/>
      <c r="BO114" s="1548"/>
      <c r="BP114" s="1548"/>
      <c r="BQ114" s="1548"/>
      <c r="BR114" s="1548"/>
      <c r="BS114" s="1548"/>
      <c r="BT114" s="1548"/>
      <c r="BU114" s="1548"/>
      <c r="BV114" s="1548"/>
      <c r="BW114" s="1548"/>
      <c r="BX114" s="1548"/>
      <c r="BY114" s="1548"/>
      <c r="BZ114" s="1548"/>
      <c r="CA114" s="1548"/>
      <c r="CB114" s="1548"/>
      <c r="CC114" s="1548"/>
      <c r="CD114" s="1548"/>
      <c r="CE114" s="1548"/>
    </row>
    <row r="115" spans="1:83" s="1831" customFormat="1" ht="11.25" customHeight="1">
      <c r="A115" s="1716"/>
      <c r="B115" s="1060"/>
      <c r="C115" s="346"/>
      <c r="D115" s="2502"/>
      <c r="E115" s="570" t="s">
        <v>24</v>
      </c>
      <c r="F115" s="1068" t="s">
        <v>24</v>
      </c>
      <c r="G115" s="1068" t="s">
        <v>1158</v>
      </c>
      <c r="H115" s="572" t="s">
        <v>24</v>
      </c>
      <c r="I115" s="572"/>
      <c r="J115" s="572"/>
      <c r="K115" s="572"/>
      <c r="L115" s="572"/>
      <c r="M115" s="572"/>
      <c r="N115" s="572"/>
      <c r="O115" s="572"/>
      <c r="P115" s="572"/>
      <c r="Q115" s="572"/>
      <c r="R115" s="573"/>
      <c r="S115" s="574"/>
      <c r="T115" s="637"/>
      <c r="U115" s="2269"/>
      <c r="V115" s="2269"/>
      <c r="W115" s="1060"/>
      <c r="X115" s="1060"/>
      <c r="Y115" s="1060"/>
      <c r="Z115" s="1060"/>
      <c r="AA115" s="1548"/>
      <c r="AB115" s="1060"/>
      <c r="AC115" s="1706"/>
      <c r="AD115" s="550"/>
      <c r="AE115" s="1060"/>
      <c r="AF115" s="1060"/>
      <c r="AG115" s="1548"/>
      <c r="AH115" s="1548"/>
      <c r="AI115" s="1548"/>
      <c r="AJ115" s="1548"/>
      <c r="AK115" s="1548"/>
      <c r="AL115" s="1548"/>
      <c r="AM115" s="1548"/>
      <c r="AN115" s="1548"/>
      <c r="AO115" s="1548"/>
      <c r="AP115" s="1548"/>
      <c r="AQ115" s="1548"/>
      <c r="AR115" s="1548"/>
      <c r="AS115" s="1548"/>
      <c r="AT115" s="1548"/>
      <c r="AU115" s="1548"/>
      <c r="AV115" s="1548"/>
      <c r="AW115" s="1548"/>
      <c r="AX115" s="1548"/>
      <c r="AY115" s="1548"/>
      <c r="AZ115" s="1548"/>
      <c r="BA115" s="1548"/>
      <c r="BB115" s="1548"/>
      <c r="BC115" s="1548"/>
      <c r="BD115" s="1548"/>
      <c r="BE115" s="1548"/>
      <c r="BF115" s="1548"/>
      <c r="BG115" s="1548"/>
      <c r="BH115" s="1548"/>
      <c r="BI115" s="1548"/>
      <c r="BJ115" s="1548"/>
      <c r="BK115" s="1548"/>
      <c r="BL115" s="1548"/>
      <c r="BM115" s="1548"/>
      <c r="BN115" s="1548"/>
      <c r="BO115" s="1548"/>
      <c r="BP115" s="1548"/>
      <c r="BQ115" s="1548"/>
      <c r="BR115" s="1548"/>
      <c r="BS115" s="1548"/>
      <c r="BT115" s="1548"/>
      <c r="BU115" s="1548"/>
      <c r="BV115" s="1060"/>
      <c r="BW115" s="1060"/>
      <c r="BX115" s="1060"/>
      <c r="BY115" s="1060"/>
      <c r="BZ115" s="1060"/>
      <c r="CA115" s="1060"/>
      <c r="CB115" s="1060"/>
      <c r="CC115" s="1060"/>
      <c r="CD115" s="1060"/>
      <c r="CE115" s="1060"/>
    </row>
    <row r="117" spans="1:83" s="2070" customFormat="1" ht="11.25" customHeight="1">
      <c r="A117" s="1725" t="s">
        <v>1159</v>
      </c>
    </row>
    <row r="119" spans="1:83" s="1831" customFormat="1" ht="15" customHeight="1">
      <c r="A119" s="544"/>
      <c r="B119" s="545"/>
      <c r="C119" s="545"/>
      <c r="D119" s="2500" t="s">
        <v>108</v>
      </c>
      <c r="E119" s="2352" t="s">
        <v>104</v>
      </c>
      <c r="F119" s="2353"/>
      <c r="G119" s="2354"/>
      <c r="H119" s="2358" t="str">
        <f>IF(A119="","",INDEX(DIFFERENTIATION_UNMERGE_VD,MATCH(A119,DIFFERENTIATION_ID_DIFF,0)))</f>
        <v/>
      </c>
      <c r="I119" s="2358"/>
      <c r="J119" s="2358"/>
      <c r="K119" s="2358"/>
      <c r="L119" s="2358"/>
      <c r="M119" s="2358"/>
      <c r="N119" s="2358"/>
      <c r="O119" s="2358"/>
      <c r="P119" s="2358"/>
      <c r="Q119" s="2358"/>
      <c r="R119" s="2358"/>
      <c r="S119" s="638"/>
      <c r="T119" s="635"/>
      <c r="U119" s="546"/>
      <c r="V119" s="546"/>
      <c r="W119" s="547"/>
      <c r="X119" s="547"/>
      <c r="Y119" s="547"/>
      <c r="Z119" s="547"/>
      <c r="AA119" s="548"/>
      <c r="AB119" s="549"/>
      <c r="AC119" s="2350"/>
      <c r="AD119" s="550"/>
      <c r="AE119" s="551" t="s">
        <v>24</v>
      </c>
      <c r="AF119" s="551"/>
      <c r="AG119" s="552" t="s">
        <v>593</v>
      </c>
      <c r="AH119" s="553">
        <v>3</v>
      </c>
      <c r="AI119" s="546"/>
      <c r="AJ119" s="546"/>
      <c r="AK119" s="546"/>
      <c r="AL119" s="546"/>
      <c r="AM119" s="546"/>
      <c r="AN119" s="546"/>
      <c r="AO119" s="546"/>
      <c r="AP119" s="546"/>
      <c r="AQ119" s="546"/>
      <c r="AR119" s="546"/>
      <c r="AS119" s="546"/>
      <c r="AT119" s="546"/>
      <c r="AU119" s="546"/>
      <c r="AV119" s="546"/>
      <c r="AW119" s="546"/>
      <c r="AX119" s="546"/>
      <c r="AY119" s="546"/>
      <c r="AZ119" s="546"/>
      <c r="BA119" s="546"/>
      <c r="BB119" s="546"/>
      <c r="BC119" s="546"/>
      <c r="BD119" s="546"/>
      <c r="BE119" s="546"/>
      <c r="BF119" s="546"/>
      <c r="BG119" s="546"/>
      <c r="BH119" s="546"/>
      <c r="BI119" s="546"/>
      <c r="BJ119" s="546"/>
      <c r="BK119" s="546"/>
      <c r="BL119" s="546"/>
      <c r="BM119" s="546"/>
      <c r="BN119" s="546"/>
      <c r="BO119" s="546"/>
      <c r="BP119" s="546"/>
      <c r="BQ119" s="546"/>
      <c r="BR119" s="546"/>
      <c r="BS119" s="546"/>
      <c r="BT119" s="546"/>
      <c r="BU119" s="546"/>
      <c r="BV119" s="547"/>
      <c r="BW119" s="547"/>
      <c r="BX119" s="547"/>
      <c r="BY119" s="547"/>
      <c r="BZ119" s="547"/>
      <c r="CA119" s="547"/>
      <c r="CB119" s="547"/>
      <c r="CC119" s="547"/>
      <c r="CD119" s="547"/>
      <c r="CE119" s="547"/>
    </row>
    <row r="120" spans="1:83" s="1831" customFormat="1" ht="15" customHeight="1">
      <c r="A120" s="544"/>
      <c r="B120" s="545"/>
      <c r="C120" s="545"/>
      <c r="D120" s="2501"/>
      <c r="E120" s="2352" t="s">
        <v>548</v>
      </c>
      <c r="F120" s="2353"/>
      <c r="G120" s="2354"/>
      <c r="H120" s="2358" t="str">
        <f>IF(A119="","",INDEX(DIFFERENTIATION_UNMERGE_AREA,MATCH(A119,DIFFERENTIATION_ID_DIFF,0)))</f>
        <v/>
      </c>
      <c r="I120" s="2358"/>
      <c r="J120" s="2358"/>
      <c r="K120" s="2358"/>
      <c r="L120" s="2358"/>
      <c r="M120" s="2358"/>
      <c r="N120" s="2358"/>
      <c r="O120" s="2358"/>
      <c r="P120" s="2358"/>
      <c r="Q120" s="2358"/>
      <c r="R120" s="2358"/>
      <c r="S120" s="638"/>
      <c r="T120" s="635"/>
      <c r="U120" s="546"/>
      <c r="V120" s="546"/>
      <c r="W120" s="547"/>
      <c r="X120" s="547"/>
      <c r="Y120" s="547"/>
      <c r="Z120" s="547"/>
      <c r="AA120" s="548"/>
      <c r="AB120" s="549"/>
      <c r="AC120" s="2350"/>
      <c r="AD120" s="550"/>
      <c r="AE120" s="551"/>
      <c r="AF120" s="551"/>
      <c r="AG120" s="552"/>
      <c r="AH120" s="553"/>
      <c r="AI120" s="546"/>
      <c r="AJ120" s="546"/>
      <c r="AK120" s="546"/>
      <c r="AL120" s="546"/>
      <c r="AM120" s="546"/>
      <c r="AN120" s="546"/>
      <c r="AO120" s="546"/>
      <c r="AP120" s="546"/>
      <c r="AQ120" s="546"/>
      <c r="AR120" s="546"/>
      <c r="AS120" s="546"/>
      <c r="AT120" s="546"/>
      <c r="AU120" s="546"/>
      <c r="AV120" s="546"/>
      <c r="AW120" s="546"/>
      <c r="AX120" s="546"/>
      <c r="AY120" s="546"/>
      <c r="AZ120" s="546"/>
      <c r="BA120" s="546"/>
      <c r="BB120" s="546"/>
      <c r="BC120" s="546"/>
      <c r="BD120" s="546"/>
      <c r="BE120" s="546"/>
      <c r="BF120" s="546"/>
      <c r="BG120" s="546"/>
      <c r="BH120" s="546"/>
      <c r="BI120" s="546"/>
      <c r="BJ120" s="546"/>
      <c r="BK120" s="546"/>
      <c r="BL120" s="546"/>
      <c r="BM120" s="546"/>
      <c r="BN120" s="546"/>
      <c r="BO120" s="546"/>
      <c r="BP120" s="546"/>
      <c r="BQ120" s="546"/>
      <c r="BR120" s="546"/>
      <c r="BS120" s="546"/>
      <c r="BT120" s="546"/>
      <c r="BU120" s="546"/>
      <c r="BV120" s="547"/>
      <c r="BW120" s="547"/>
      <c r="BX120" s="547"/>
      <c r="BY120" s="547"/>
      <c r="BZ120" s="547"/>
      <c r="CA120" s="547"/>
      <c r="CB120" s="547"/>
      <c r="CC120" s="547"/>
      <c r="CD120" s="547"/>
      <c r="CE120" s="547"/>
    </row>
    <row r="121" spans="1:83" s="1831" customFormat="1" ht="15" customHeight="1">
      <c r="A121" s="544"/>
      <c r="B121" s="545"/>
      <c r="C121" s="545"/>
      <c r="D121" s="2501"/>
      <c r="E121" s="2352" t="s">
        <v>549</v>
      </c>
      <c r="F121" s="2353"/>
      <c r="G121" s="2354"/>
      <c r="H121" s="2358" t="str">
        <f>IF(A119="","",INDEX(DIFFERENTIATION_UNMERGE_SYSTEM,MATCH(A119,DIFFERENTIATION_ID_DIFF,0)))</f>
        <v/>
      </c>
      <c r="I121" s="2358"/>
      <c r="J121" s="2358"/>
      <c r="K121" s="2358"/>
      <c r="L121" s="2358"/>
      <c r="M121" s="2358"/>
      <c r="N121" s="2358"/>
      <c r="O121" s="2358"/>
      <c r="P121" s="2358"/>
      <c r="Q121" s="2358"/>
      <c r="R121" s="2358"/>
      <c r="S121" s="638"/>
      <c r="T121" s="635"/>
      <c r="U121" s="546"/>
      <c r="V121" s="546"/>
      <c r="W121" s="547"/>
      <c r="X121" s="547"/>
      <c r="Y121" s="547"/>
      <c r="Z121" s="547"/>
      <c r="AA121" s="548"/>
      <c r="AB121" s="549"/>
      <c r="AC121" s="2350"/>
      <c r="AD121" s="550"/>
      <c r="AE121" s="551"/>
      <c r="AF121" s="551"/>
      <c r="AG121" s="552"/>
      <c r="AH121" s="553"/>
      <c r="AI121" s="546"/>
      <c r="AJ121" s="546"/>
      <c r="AK121" s="546"/>
      <c r="AL121" s="546"/>
      <c r="AM121" s="546"/>
      <c r="AN121" s="546"/>
      <c r="AO121" s="546"/>
      <c r="AP121" s="546"/>
      <c r="AQ121" s="546"/>
      <c r="AR121" s="546"/>
      <c r="AS121" s="546"/>
      <c r="AT121" s="546"/>
      <c r="AU121" s="546"/>
      <c r="AV121" s="546"/>
      <c r="AW121" s="546"/>
      <c r="AX121" s="546"/>
      <c r="AY121" s="546"/>
      <c r="AZ121" s="546"/>
      <c r="BA121" s="546"/>
      <c r="BB121" s="546"/>
      <c r="BC121" s="546"/>
      <c r="BD121" s="546"/>
      <c r="BE121" s="546"/>
      <c r="BF121" s="546"/>
      <c r="BG121" s="546"/>
      <c r="BH121" s="546"/>
      <c r="BI121" s="546"/>
      <c r="BJ121" s="546"/>
      <c r="BK121" s="546"/>
      <c r="BL121" s="546"/>
      <c r="BM121" s="546"/>
      <c r="BN121" s="546"/>
      <c r="BO121" s="546"/>
      <c r="BP121" s="546"/>
      <c r="BQ121" s="546"/>
      <c r="BR121" s="546"/>
      <c r="BS121" s="546"/>
      <c r="BT121" s="546"/>
      <c r="BU121" s="546"/>
      <c r="BV121" s="547"/>
      <c r="BW121" s="547"/>
      <c r="BX121" s="547"/>
      <c r="BY121" s="547"/>
      <c r="BZ121" s="547"/>
      <c r="CA121" s="547"/>
      <c r="CB121" s="547"/>
      <c r="CC121" s="547"/>
      <c r="CD121" s="547"/>
      <c r="CE121" s="547"/>
    </row>
    <row r="122" spans="1:83" s="1831" customFormat="1" ht="24.75" customHeight="1">
      <c r="A122" s="1716"/>
      <c r="B122" s="1060"/>
      <c r="C122" s="346"/>
      <c r="D122" s="2501"/>
      <c r="E122" s="2351" t="s">
        <v>594</v>
      </c>
      <c r="F122" s="2351"/>
      <c r="G122" s="2351"/>
      <c r="H122" s="2351"/>
      <c r="I122" s="2351"/>
      <c r="J122" s="2351"/>
      <c r="K122" s="2351"/>
      <c r="L122" s="2351"/>
      <c r="M122" s="2351"/>
      <c r="N122" s="2351"/>
      <c r="O122" s="2351"/>
      <c r="P122" s="2351"/>
      <c r="Q122" s="483">
        <f>SUMIF(T123:T124,"i",Q123:Q124)</f>
        <v>0</v>
      </c>
      <c r="R122" s="924"/>
      <c r="S122" s="1708" t="s">
        <v>595</v>
      </c>
      <c r="T122" s="636" t="s">
        <v>596</v>
      </c>
      <c r="U122" s="2269">
        <v>1</v>
      </c>
      <c r="V122" s="2269" t="s">
        <v>559</v>
      </c>
      <c r="W122" s="1060"/>
      <c r="X122" s="1060"/>
      <c r="Y122" s="1060"/>
      <c r="Z122" s="1060"/>
      <c r="AA122" s="1548"/>
      <c r="AB122" s="1060"/>
      <c r="AC122" s="2350"/>
      <c r="AD122" s="550"/>
      <c r="AE122" s="1060"/>
      <c r="AF122" s="1060"/>
      <c r="AG122" s="1548"/>
      <c r="AH122" s="1548"/>
      <c r="AI122" s="1548"/>
      <c r="AJ122" s="1548"/>
      <c r="AK122" s="1548"/>
      <c r="AL122" s="1548"/>
      <c r="AM122" s="1548"/>
      <c r="AN122" s="1548"/>
      <c r="AO122" s="1548"/>
      <c r="AP122" s="1548"/>
      <c r="AQ122" s="1548"/>
      <c r="AR122" s="1548"/>
      <c r="AS122" s="1548"/>
      <c r="AT122" s="1548"/>
      <c r="AU122" s="1548"/>
      <c r="AV122" s="1548"/>
      <c r="AW122" s="1548"/>
      <c r="AX122" s="1548"/>
      <c r="AY122" s="1548"/>
      <c r="AZ122" s="1548"/>
      <c r="BA122" s="1548"/>
      <c r="BB122" s="1548"/>
      <c r="BC122" s="1548"/>
      <c r="BD122" s="1548"/>
      <c r="BE122" s="1548"/>
      <c r="BF122" s="1548"/>
      <c r="BG122" s="1548"/>
      <c r="BH122" s="1548"/>
      <c r="BI122" s="1548"/>
      <c r="BJ122" s="1548"/>
      <c r="BK122" s="1548"/>
      <c r="BL122" s="1548"/>
      <c r="BM122" s="1548"/>
      <c r="BN122" s="1548"/>
      <c r="BO122" s="1548"/>
      <c r="BP122" s="1548"/>
      <c r="BQ122" s="1548"/>
      <c r="BR122" s="1548"/>
      <c r="BS122" s="1548"/>
      <c r="BT122" s="1548"/>
      <c r="BU122" s="1548"/>
      <c r="BV122" s="1060"/>
      <c r="BW122" s="1060"/>
      <c r="BX122" s="1060"/>
      <c r="BY122" s="1060"/>
      <c r="BZ122" s="1060"/>
      <c r="CA122" s="1060"/>
      <c r="CB122" s="1060"/>
      <c r="CC122" s="1060"/>
      <c r="CD122" s="1060"/>
      <c r="CE122" s="1060"/>
    </row>
    <row r="123" spans="1:83" s="1831" customFormat="1" ht="11.25" hidden="1" customHeight="1">
      <c r="A123" s="1703"/>
      <c r="B123" s="1548"/>
      <c r="C123" s="1548"/>
      <c r="D123" s="2501"/>
      <c r="E123" s="556"/>
      <c r="F123" s="556">
        <v>0</v>
      </c>
      <c r="G123" s="556"/>
      <c r="H123" s="556"/>
      <c r="I123" s="556"/>
      <c r="J123" s="556"/>
      <c r="K123" s="556"/>
      <c r="L123" s="556"/>
      <c r="M123" s="556"/>
      <c r="N123" s="556"/>
      <c r="O123" s="556"/>
      <c r="P123" s="556"/>
      <c r="Q123" s="556"/>
      <c r="R123" s="556"/>
      <c r="S123" s="557"/>
      <c r="T123" s="637"/>
      <c r="U123" s="2269"/>
      <c r="V123" s="2269"/>
      <c r="W123" s="1548"/>
      <c r="X123" s="1548"/>
      <c r="Y123" s="1548"/>
      <c r="Z123" s="1548"/>
      <c r="AA123" s="1548"/>
      <c r="AB123" s="1060"/>
      <c r="AC123" s="2350"/>
      <c r="AD123" s="550"/>
      <c r="AE123" s="1060"/>
      <c r="AF123" s="1060"/>
      <c r="AG123" s="1548"/>
      <c r="AH123" s="1548"/>
      <c r="AI123" s="1548"/>
      <c r="AJ123" s="1548"/>
      <c r="AK123" s="1548"/>
      <c r="AL123" s="1548"/>
      <c r="AM123" s="1548"/>
      <c r="AN123" s="1548"/>
      <c r="AO123" s="1548"/>
      <c r="AP123" s="1548"/>
      <c r="AQ123" s="1548"/>
      <c r="AR123" s="1548"/>
      <c r="AS123" s="1548"/>
      <c r="AT123" s="1548"/>
      <c r="AU123" s="1548"/>
      <c r="AV123" s="1548"/>
      <c r="AW123" s="1548"/>
      <c r="AX123" s="1548"/>
      <c r="AY123" s="1548"/>
      <c r="AZ123" s="1548"/>
      <c r="BA123" s="1548"/>
      <c r="BB123" s="1548"/>
      <c r="BC123" s="1548"/>
      <c r="BD123" s="1548"/>
      <c r="BE123" s="1548"/>
      <c r="BF123" s="1548"/>
      <c r="BG123" s="1548"/>
      <c r="BH123" s="1548"/>
      <c r="BI123" s="1548"/>
      <c r="BJ123" s="1548"/>
      <c r="BK123" s="1548"/>
      <c r="BL123" s="1548"/>
      <c r="BM123" s="1548"/>
      <c r="BN123" s="1548"/>
      <c r="BO123" s="1548"/>
      <c r="BP123" s="1548"/>
      <c r="BQ123" s="1548"/>
      <c r="BR123" s="1548"/>
      <c r="BS123" s="1548"/>
      <c r="BT123" s="1548"/>
      <c r="BU123" s="1548"/>
      <c r="BV123" s="1548"/>
      <c r="BW123" s="1548"/>
      <c r="BX123" s="1548"/>
      <c r="BY123" s="1548"/>
      <c r="BZ123" s="1548"/>
      <c r="CA123" s="1548"/>
      <c r="CB123" s="1548"/>
      <c r="CC123" s="1548"/>
      <c r="CD123" s="1548"/>
      <c r="CE123" s="1548"/>
    </row>
    <row r="124" spans="1:83" s="1831" customFormat="1" ht="11.25" customHeight="1">
      <c r="A124" s="1716"/>
      <c r="B124" s="1060"/>
      <c r="C124" s="346"/>
      <c r="D124" s="2501"/>
      <c r="E124" s="570" t="s">
        <v>24</v>
      </c>
      <c r="F124" s="1068" t="s">
        <v>24</v>
      </c>
      <c r="G124" s="1068" t="s">
        <v>1158</v>
      </c>
      <c r="H124" s="572" t="s">
        <v>24</v>
      </c>
      <c r="I124" s="572"/>
      <c r="J124" s="572"/>
      <c r="K124" s="572"/>
      <c r="L124" s="572"/>
      <c r="M124" s="572"/>
      <c r="N124" s="572"/>
      <c r="O124" s="572"/>
      <c r="P124" s="572"/>
      <c r="Q124" s="572"/>
      <c r="R124" s="573"/>
      <c r="S124" s="574"/>
      <c r="T124" s="637"/>
      <c r="U124" s="2269"/>
      <c r="V124" s="2269"/>
      <c r="W124" s="1060"/>
      <c r="X124" s="1060"/>
      <c r="Y124" s="1060"/>
      <c r="Z124" s="1060"/>
      <c r="AA124" s="1548"/>
      <c r="AB124" s="1060"/>
      <c r="AC124" s="2350"/>
      <c r="AD124" s="550"/>
      <c r="AE124" s="1060"/>
      <c r="AF124" s="1060"/>
      <c r="AG124" s="1548"/>
      <c r="AH124" s="1548"/>
      <c r="AI124" s="1548"/>
      <c r="AJ124" s="1548"/>
      <c r="AK124" s="1548"/>
      <c r="AL124" s="1548"/>
      <c r="AM124" s="1548"/>
      <c r="AN124" s="1548"/>
      <c r="AO124" s="1548"/>
      <c r="AP124" s="1548"/>
      <c r="AQ124" s="1548"/>
      <c r="AR124" s="1548"/>
      <c r="AS124" s="1548"/>
      <c r="AT124" s="1548"/>
      <c r="AU124" s="1548"/>
      <c r="AV124" s="1548"/>
      <c r="AW124" s="1548"/>
      <c r="AX124" s="1548"/>
      <c r="AY124" s="1548"/>
      <c r="AZ124" s="1548"/>
      <c r="BA124" s="1548"/>
      <c r="BB124" s="1548"/>
      <c r="BC124" s="1548"/>
      <c r="BD124" s="1548"/>
      <c r="BE124" s="1548"/>
      <c r="BF124" s="1548"/>
      <c r="BG124" s="1548"/>
      <c r="BH124" s="1548"/>
      <c r="BI124" s="1548"/>
      <c r="BJ124" s="1548"/>
      <c r="BK124" s="1548"/>
      <c r="BL124" s="1548"/>
      <c r="BM124" s="1548"/>
      <c r="BN124" s="1548"/>
      <c r="BO124" s="1548"/>
      <c r="BP124" s="1548"/>
      <c r="BQ124" s="1548"/>
      <c r="BR124" s="1548"/>
      <c r="BS124" s="1548"/>
      <c r="BT124" s="1548"/>
      <c r="BU124" s="1548"/>
      <c r="BV124" s="1060"/>
      <c r="BW124" s="1060"/>
      <c r="BX124" s="1060"/>
      <c r="BY124" s="1060"/>
      <c r="BZ124" s="1060"/>
      <c r="CA124" s="1060"/>
      <c r="CB124" s="1060"/>
      <c r="CC124" s="1060"/>
      <c r="CD124" s="1060"/>
      <c r="CE124" s="1060"/>
    </row>
    <row r="125" spans="1:83" s="1832" customFormat="1" ht="5.25" hidden="1" customHeight="1">
      <c r="A125" s="1703"/>
      <c r="B125" s="1548"/>
      <c r="C125" s="1548"/>
      <c r="D125" s="2501"/>
      <c r="E125" s="946"/>
      <c r="F125" s="946"/>
      <c r="G125" s="946"/>
      <c r="H125" s="946"/>
      <c r="I125" s="946"/>
      <c r="J125" s="946"/>
      <c r="K125" s="946"/>
      <c r="L125" s="946"/>
      <c r="M125" s="946"/>
      <c r="N125" s="946"/>
      <c r="O125" s="946"/>
      <c r="P125" s="946"/>
      <c r="Q125" s="947"/>
      <c r="R125" s="948"/>
      <c r="S125" s="949"/>
      <c r="T125" s="636" t="s">
        <v>596</v>
      </c>
      <c r="U125" s="2269">
        <v>1</v>
      </c>
      <c r="V125" s="2269" t="s">
        <v>559</v>
      </c>
      <c r="W125" s="1548"/>
      <c r="X125" s="1548"/>
      <c r="Y125" s="1548"/>
      <c r="Z125" s="1548"/>
      <c r="AA125" s="1548"/>
      <c r="AB125" s="1548"/>
      <c r="AC125" s="944"/>
      <c r="AD125" s="945"/>
      <c r="AE125" s="1548"/>
      <c r="AF125" s="1548"/>
      <c r="AG125" s="1548"/>
      <c r="AH125" s="1548"/>
      <c r="AI125" s="1548"/>
      <c r="AJ125" s="1548"/>
      <c r="AK125" s="1548"/>
      <c r="AL125" s="1548"/>
      <c r="AM125" s="1548"/>
      <c r="AN125" s="1548"/>
      <c r="AO125" s="1548"/>
      <c r="AP125" s="1548"/>
      <c r="AQ125" s="1548"/>
      <c r="AR125" s="1548"/>
      <c r="AS125" s="1548"/>
      <c r="AT125" s="1548"/>
      <c r="AU125" s="1548"/>
      <c r="AV125" s="1548"/>
      <c r="AW125" s="1548"/>
      <c r="AX125" s="1548"/>
      <c r="AY125" s="1548"/>
      <c r="AZ125" s="1548"/>
      <c r="BA125" s="1548"/>
      <c r="BB125" s="1548"/>
      <c r="BC125" s="1548"/>
      <c r="BD125" s="1548"/>
      <c r="BE125" s="1548"/>
      <c r="BF125" s="1548"/>
      <c r="BG125" s="1548"/>
      <c r="BH125" s="1548"/>
      <c r="BI125" s="1548"/>
      <c r="BJ125" s="1548"/>
      <c r="BK125" s="1548"/>
      <c r="BL125" s="1548"/>
      <c r="BM125" s="1548"/>
      <c r="BN125" s="1548"/>
      <c r="BO125" s="1548"/>
      <c r="BP125" s="1548"/>
      <c r="BQ125" s="1548"/>
      <c r="BR125" s="1548"/>
      <c r="BS125" s="1548"/>
      <c r="BT125" s="1548"/>
      <c r="BU125" s="1548"/>
      <c r="BV125" s="1548"/>
      <c r="BW125" s="1548"/>
      <c r="BX125" s="1548"/>
      <c r="BY125" s="1548"/>
      <c r="BZ125" s="1548"/>
      <c r="CA125" s="1548"/>
      <c r="CB125" s="1548"/>
      <c r="CC125" s="1548"/>
      <c r="CD125" s="1548"/>
      <c r="CE125" s="1548"/>
    </row>
    <row r="126" spans="1:83" s="1832" customFormat="1" ht="5.25" hidden="1" customHeight="1">
      <c r="A126" s="1703"/>
      <c r="B126" s="1548"/>
      <c r="C126" s="1548"/>
      <c r="D126" s="2501"/>
      <c r="E126" s="556"/>
      <c r="F126" s="556"/>
      <c r="G126" s="556"/>
      <c r="H126" s="556"/>
      <c r="I126" s="556"/>
      <c r="J126" s="556"/>
      <c r="K126" s="556"/>
      <c r="L126" s="556"/>
      <c r="M126" s="556"/>
      <c r="N126" s="556"/>
      <c r="O126" s="556"/>
      <c r="P126" s="556"/>
      <c r="Q126" s="556"/>
      <c r="R126" s="556"/>
      <c r="S126" s="557"/>
      <c r="T126" s="637"/>
      <c r="U126" s="2269"/>
      <c r="V126" s="2269"/>
      <c r="W126" s="1548"/>
      <c r="X126" s="1548"/>
      <c r="Y126" s="1548"/>
      <c r="Z126" s="1548"/>
      <c r="AA126" s="1548"/>
      <c r="AB126" s="1548"/>
      <c r="AC126" s="944"/>
      <c r="AD126" s="945"/>
      <c r="AE126" s="1548"/>
      <c r="AF126" s="1548"/>
      <c r="AG126" s="1548"/>
      <c r="AH126" s="1548"/>
      <c r="AI126" s="1548"/>
      <c r="AJ126" s="1548"/>
      <c r="AK126" s="1548"/>
      <c r="AL126" s="1548"/>
      <c r="AM126" s="1548"/>
      <c r="AN126" s="1548"/>
      <c r="AO126" s="1548"/>
      <c r="AP126" s="1548"/>
      <c r="AQ126" s="1548"/>
      <c r="AR126" s="1548"/>
      <c r="AS126" s="1548"/>
      <c r="AT126" s="1548"/>
      <c r="AU126" s="1548"/>
      <c r="AV126" s="1548"/>
      <c r="AW126" s="1548"/>
      <c r="AX126" s="1548"/>
      <c r="AY126" s="1548"/>
      <c r="AZ126" s="1548"/>
      <c r="BA126" s="1548"/>
      <c r="BB126" s="1548"/>
      <c r="BC126" s="1548"/>
      <c r="BD126" s="1548"/>
      <c r="BE126" s="1548"/>
      <c r="BF126" s="1548"/>
      <c r="BG126" s="1548"/>
      <c r="BH126" s="1548"/>
      <c r="BI126" s="1548"/>
      <c r="BJ126" s="1548"/>
      <c r="BK126" s="1548"/>
      <c r="BL126" s="1548"/>
      <c r="BM126" s="1548"/>
      <c r="BN126" s="1548"/>
      <c r="BO126" s="1548"/>
      <c r="BP126" s="1548"/>
      <c r="BQ126" s="1548"/>
      <c r="BR126" s="1548"/>
      <c r="BS126" s="1548"/>
      <c r="BT126" s="1548"/>
      <c r="BU126" s="1548"/>
      <c r="BV126" s="1548"/>
      <c r="BW126" s="1548"/>
      <c r="BX126" s="1548"/>
      <c r="BY126" s="1548"/>
      <c r="BZ126" s="1548"/>
      <c r="CA126" s="1548"/>
      <c r="CB126" s="1548"/>
      <c r="CC126" s="1548"/>
      <c r="CD126" s="1548"/>
      <c r="CE126" s="1548"/>
    </row>
    <row r="127" spans="1:83" s="1832" customFormat="1" ht="5.25" hidden="1" customHeight="1">
      <c r="A127" s="1703"/>
      <c r="B127" s="1548"/>
      <c r="C127" s="1548"/>
      <c r="D127" s="2502"/>
      <c r="E127" s="950"/>
      <c r="F127" s="951"/>
      <c r="G127" s="951"/>
      <c r="H127" s="952"/>
      <c r="I127" s="952"/>
      <c r="J127" s="952"/>
      <c r="K127" s="952"/>
      <c r="L127" s="952"/>
      <c r="M127" s="952"/>
      <c r="N127" s="952"/>
      <c r="O127" s="952"/>
      <c r="P127" s="952"/>
      <c r="Q127" s="952"/>
      <c r="R127" s="855"/>
      <c r="S127" s="953"/>
      <c r="T127" s="637"/>
      <c r="U127" s="2269"/>
      <c r="V127" s="2269"/>
      <c r="W127" s="1548"/>
      <c r="X127" s="1548"/>
      <c r="Y127" s="1548"/>
      <c r="Z127" s="1548"/>
      <c r="AA127" s="1548"/>
      <c r="AB127" s="1548"/>
      <c r="AC127" s="944"/>
      <c r="AD127" s="945"/>
      <c r="AE127" s="1548"/>
      <c r="AF127" s="1548"/>
      <c r="AG127" s="1548"/>
      <c r="AH127" s="1548"/>
      <c r="AI127" s="1548"/>
      <c r="AJ127" s="1548"/>
      <c r="AK127" s="1548"/>
      <c r="AL127" s="1548"/>
      <c r="AM127" s="1548"/>
      <c r="AN127" s="1548"/>
      <c r="AO127" s="1548"/>
      <c r="AP127" s="1548"/>
      <c r="AQ127" s="1548"/>
      <c r="AR127" s="1548"/>
      <c r="AS127" s="1548"/>
      <c r="AT127" s="1548"/>
      <c r="AU127" s="1548"/>
      <c r="AV127" s="1548"/>
      <c r="AW127" s="1548"/>
      <c r="AX127" s="1548"/>
      <c r="AY127" s="1548"/>
      <c r="AZ127" s="1548"/>
      <c r="BA127" s="1548"/>
      <c r="BB127" s="1548"/>
      <c r="BC127" s="1548"/>
      <c r="BD127" s="1548"/>
      <c r="BE127" s="1548"/>
      <c r="BF127" s="1548"/>
      <c r="BG127" s="1548"/>
      <c r="BH127" s="1548"/>
      <c r="BI127" s="1548"/>
      <c r="BJ127" s="1548"/>
      <c r="BK127" s="1548"/>
      <c r="BL127" s="1548"/>
      <c r="BM127" s="1548"/>
      <c r="BN127" s="1548"/>
      <c r="BO127" s="1548"/>
      <c r="BP127" s="1548"/>
      <c r="BQ127" s="1548"/>
      <c r="BR127" s="1548"/>
      <c r="BS127" s="1548"/>
      <c r="BT127" s="1548"/>
      <c r="BU127" s="1548"/>
      <c r="BV127" s="1548"/>
      <c r="BW127" s="1548"/>
      <c r="BX127" s="1548"/>
      <c r="BY127" s="1548"/>
      <c r="BZ127" s="1548"/>
      <c r="CA127" s="1548"/>
      <c r="CB127" s="1548"/>
      <c r="CC127" s="1548"/>
      <c r="CD127" s="1548"/>
      <c r="CE127" s="1548"/>
    </row>
    <row r="128" spans="1:83" ht="17.25" customHeight="1">
      <c r="D128" s="1744"/>
    </row>
    <row r="129" spans="1:29" s="2070" customFormat="1" ht="11.25" customHeight="1">
      <c r="A129" s="1725" t="s">
        <v>1160</v>
      </c>
    </row>
    <row r="131" spans="1:29" s="1831" customFormat="1" ht="45" customHeight="1">
      <c r="A131" s="1716"/>
      <c r="B131" s="1060"/>
      <c r="C131" s="346"/>
      <c r="D131" s="23"/>
      <c r="E131" s="2493"/>
      <c r="F131" s="2125" t="s">
        <v>108</v>
      </c>
      <c r="G131" s="2496" t="s">
        <v>24</v>
      </c>
      <c r="H131" s="207"/>
      <c r="I131" s="558" t="s">
        <v>108</v>
      </c>
      <c r="J131" s="1717" t="s">
        <v>1161</v>
      </c>
      <c r="K131" s="559" t="s">
        <v>530</v>
      </c>
      <c r="L131" s="2243" t="s">
        <v>530</v>
      </c>
      <c r="M131" s="2171"/>
      <c r="N131" s="559" t="s">
        <v>530</v>
      </c>
      <c r="O131" s="559" t="s">
        <v>530</v>
      </c>
      <c r="P131" s="559" t="s">
        <v>530</v>
      </c>
      <c r="Q131" s="560">
        <f>SUM(Q132:Q134)</f>
        <v>0</v>
      </c>
      <c r="R131" s="560">
        <f>IF(R128=0,0,(Q128/R128)*100)</f>
        <v>0</v>
      </c>
      <c r="S131" s="2203"/>
      <c r="T131" s="636" t="s">
        <v>596</v>
      </c>
      <c r="U131" s="23"/>
      <c r="V131" s="23"/>
      <c r="AC131" s="23"/>
    </row>
    <row r="132" spans="1:29" s="1831" customFormat="1" ht="11.25" customHeight="1">
      <c r="A132" s="1716"/>
      <c r="B132" s="1060"/>
      <c r="C132" s="346"/>
      <c r="D132" s="23"/>
      <c r="E132" s="2494"/>
      <c r="F132" s="2125"/>
      <c r="G132" s="2496"/>
      <c r="H132" s="2143"/>
      <c r="I132" s="2389" t="s">
        <v>920</v>
      </c>
      <c r="J132" s="2498"/>
      <c r="K132" s="2499"/>
      <c r="L132" s="561"/>
      <c r="M132" s="562" t="s">
        <v>108</v>
      </c>
      <c r="N132" s="1705"/>
      <c r="O132" s="563"/>
      <c r="P132" s="564"/>
      <c r="Q132" s="563"/>
      <c r="R132" s="565">
        <v>0</v>
      </c>
      <c r="S132" s="2203"/>
      <c r="T132" s="636"/>
      <c r="U132" s="23"/>
      <c r="V132" s="23"/>
      <c r="AC132" s="23"/>
    </row>
    <row r="133" spans="1:29" s="1831" customFormat="1" ht="11.25" customHeight="1">
      <c r="A133" s="1716"/>
      <c r="B133" s="1060"/>
      <c r="C133" s="346"/>
      <c r="D133" s="23"/>
      <c r="E133" s="2494"/>
      <c r="F133" s="2125"/>
      <c r="G133" s="2496"/>
      <c r="H133" s="2143"/>
      <c r="I133" s="2389"/>
      <c r="J133" s="2498"/>
      <c r="K133" s="2452"/>
      <c r="L133" s="566"/>
      <c r="M133" s="567"/>
      <c r="N133" s="568" t="s">
        <v>1162</v>
      </c>
      <c r="O133" s="568"/>
      <c r="P133" s="568"/>
      <c r="Q133" s="568"/>
      <c r="R133" s="569"/>
      <c r="S133" s="2203"/>
      <c r="T133" s="636"/>
      <c r="U133" s="23"/>
      <c r="V133" s="23"/>
      <c r="AC133" s="23"/>
    </row>
    <row r="134" spans="1:29" s="1831" customFormat="1" ht="11.25" customHeight="1">
      <c r="A134" s="1716"/>
      <c r="B134" s="1060"/>
      <c r="C134" s="346"/>
      <c r="D134" s="23"/>
      <c r="E134" s="2495"/>
      <c r="F134" s="2125"/>
      <c r="G134" s="2497"/>
      <c r="H134" s="566" t="s">
        <v>24</v>
      </c>
      <c r="I134" s="567"/>
      <c r="J134" s="568" t="s">
        <v>1163</v>
      </c>
      <c r="K134" s="568"/>
      <c r="L134" s="568"/>
      <c r="M134" s="568"/>
      <c r="N134" s="568"/>
      <c r="O134" s="568"/>
      <c r="P134" s="568"/>
      <c r="Q134" s="568"/>
      <c r="R134" s="569"/>
      <c r="S134" s="2203"/>
      <c r="T134" s="636"/>
      <c r="U134" s="23"/>
      <c r="V134" s="23"/>
      <c r="AC134" s="23"/>
    </row>
    <row r="139" spans="1:29" s="1831" customFormat="1" ht="11.25" customHeight="1">
      <c r="A139" s="1716"/>
      <c r="B139" s="1060"/>
      <c r="C139" s="346"/>
      <c r="D139" s="23"/>
      <c r="E139" s="1738"/>
      <c r="F139" s="1738"/>
      <c r="G139" s="1738"/>
      <c r="H139" s="2143"/>
      <c r="I139" s="2389" t="s">
        <v>920</v>
      </c>
      <c r="J139" s="2498"/>
      <c r="K139" s="2499"/>
      <c r="L139" s="561"/>
      <c r="M139" s="562" t="s">
        <v>108</v>
      </c>
      <c r="N139" s="1705"/>
      <c r="O139" s="563"/>
      <c r="P139" s="564"/>
      <c r="Q139" s="563"/>
      <c r="R139" s="565">
        <v>0</v>
      </c>
      <c r="S139" s="23"/>
      <c r="T139" s="636"/>
      <c r="U139" s="23"/>
      <c r="V139" s="23"/>
      <c r="AC139" s="23"/>
    </row>
    <row r="140" spans="1:29" s="1831" customFormat="1" ht="11.25" customHeight="1">
      <c r="A140" s="1716"/>
      <c r="B140" s="1060"/>
      <c r="C140" s="346"/>
      <c r="D140" s="23"/>
      <c r="E140" s="1738"/>
      <c r="F140" s="1738"/>
      <c r="G140" s="1738"/>
      <c r="H140" s="2143"/>
      <c r="I140" s="2389"/>
      <c r="J140" s="2498"/>
      <c r="K140" s="2452"/>
      <c r="L140" s="566"/>
      <c r="M140" s="567"/>
      <c r="N140" s="568" t="s">
        <v>1162</v>
      </c>
      <c r="O140" s="568"/>
      <c r="P140" s="568"/>
      <c r="Q140" s="568"/>
      <c r="R140" s="569"/>
      <c r="S140" s="23"/>
      <c r="T140" s="636"/>
      <c r="U140" s="23"/>
      <c r="V140" s="23"/>
      <c r="AC140" s="23"/>
    </row>
    <row r="142" spans="1:29" s="1831" customFormat="1" ht="11.25" customHeight="1">
      <c r="A142" s="1716"/>
      <c r="B142" s="1060"/>
      <c r="C142" s="346"/>
      <c r="D142" s="23"/>
      <c r="E142" s="1745"/>
      <c r="F142" s="1743"/>
      <c r="G142" s="1743"/>
      <c r="H142" s="1746"/>
      <c r="I142" s="1738"/>
      <c r="J142" s="1739"/>
      <c r="K142" s="1739"/>
      <c r="L142" s="561"/>
      <c r="M142" s="562" t="s">
        <v>108</v>
      </c>
      <c r="N142" s="1705"/>
      <c r="O142" s="563"/>
      <c r="P142" s="564"/>
      <c r="Q142" s="563"/>
      <c r="R142" s="565">
        <v>0</v>
      </c>
      <c r="S142" s="23"/>
      <c r="T142" s="636"/>
      <c r="U142" s="23"/>
      <c r="V142" s="23"/>
      <c r="AC142" s="23"/>
    </row>
    <row r="144" spans="1:29" s="2070" customFormat="1" ht="17.25" customHeight="1">
      <c r="A144" s="1725" t="s">
        <v>1164</v>
      </c>
    </row>
    <row r="145" spans="1:43" ht="17.25" customHeight="1">
      <c r="G145" s="1747"/>
      <c r="H145" s="1747"/>
      <c r="I145" s="1747"/>
      <c r="M145" s="1743"/>
    </row>
    <row r="146" spans="1:43" s="2073" customFormat="1" ht="17.25" customHeight="1">
      <c r="A146" s="1748"/>
      <c r="C146" s="1750"/>
      <c r="D146" s="2193"/>
      <c r="E146" s="2159"/>
      <c r="F146" s="2161"/>
      <c r="G146" s="2173"/>
      <c r="H146" s="2193"/>
      <c r="I146" s="2193">
        <v>1</v>
      </c>
      <c r="J146" s="2192"/>
      <c r="K146" s="2195" t="s">
        <v>61</v>
      </c>
      <c r="L146" s="2125"/>
      <c r="M146" s="2125" t="s">
        <v>108</v>
      </c>
      <c r="N146" s="2453" t="str">
        <f>IF(Z146="","",INDEX(TERRITORY_MR_LIST,MATCH(Z146,TERRITORY_LIST_ID,0)))</f>
        <v/>
      </c>
      <c r="O146" s="2195" t="s">
        <v>61</v>
      </c>
      <c r="P146" s="2125"/>
      <c r="Q146" s="2125" t="s">
        <v>108</v>
      </c>
      <c r="R146" s="2452" t="s">
        <v>24</v>
      </c>
      <c r="S146" s="2124" t="s">
        <v>61</v>
      </c>
      <c r="T146" s="1721"/>
      <c r="U146" s="1721" t="s">
        <v>108</v>
      </c>
      <c r="V146" s="1751" t="s">
        <v>24</v>
      </c>
      <c r="W146" s="1711"/>
      <c r="Y146" s="1186"/>
      <c r="Z146" s="1186"/>
      <c r="AA146" s="1186"/>
      <c r="AB146" s="1186"/>
      <c r="AC146" s="1186"/>
      <c r="AD146" s="1186"/>
      <c r="AE146" s="1186"/>
      <c r="AF146" s="1186"/>
      <c r="AG146" s="1186"/>
      <c r="AH146" s="1186"/>
      <c r="AI146" s="1186"/>
      <c r="AJ146" s="1186"/>
      <c r="AK146" s="1186"/>
      <c r="AL146" s="1752"/>
      <c r="AM146" s="1752"/>
      <c r="AN146" s="1186"/>
      <c r="AO146" s="1186"/>
      <c r="AP146" s="1186"/>
      <c r="AQ146" s="1186"/>
    </row>
    <row r="147" spans="1:43" s="2073" customFormat="1" ht="17.25" customHeight="1">
      <c r="A147" s="1748"/>
      <c r="C147" s="1753"/>
      <c r="D147" s="2193"/>
      <c r="E147" s="2159"/>
      <c r="F147" s="2162"/>
      <c r="G147" s="2173"/>
      <c r="H147" s="2193"/>
      <c r="I147" s="2193"/>
      <c r="J147" s="2192"/>
      <c r="K147" s="2196"/>
      <c r="L147" s="2125"/>
      <c r="M147" s="2125"/>
      <c r="N147" s="2453"/>
      <c r="O147" s="2196"/>
      <c r="P147" s="2125"/>
      <c r="Q147" s="2125"/>
      <c r="R147" s="2452"/>
      <c r="S147" s="2124"/>
      <c r="T147" s="240"/>
      <c r="U147" s="241"/>
      <c r="V147" s="241" t="s">
        <v>405</v>
      </c>
      <c r="W147" s="242"/>
      <c r="Y147" s="1179"/>
      <c r="Z147" s="1179"/>
      <c r="AA147" s="1179"/>
      <c r="AB147" s="1179"/>
      <c r="AC147" s="1179"/>
      <c r="AD147" s="1179"/>
      <c r="AE147" s="1179"/>
      <c r="AF147" s="1179"/>
      <c r="AG147" s="1179"/>
      <c r="AH147" s="1179"/>
      <c r="AI147" s="1179"/>
      <c r="AJ147" s="1179"/>
      <c r="AK147" s="1179"/>
    </row>
    <row r="148" spans="1:43" s="2073" customFormat="1" ht="17.25" customHeight="1">
      <c r="A148" s="1748"/>
      <c r="C148" s="1753"/>
      <c r="D148" s="2158"/>
      <c r="E148" s="2160"/>
      <c r="F148" s="2162"/>
      <c r="G148" s="2174"/>
      <c r="H148" s="2158"/>
      <c r="I148" s="2158"/>
      <c r="J148" s="2194"/>
      <c r="K148" s="2196"/>
      <c r="L148" s="2158"/>
      <c r="M148" s="2158"/>
      <c r="N148" s="2454"/>
      <c r="O148" s="2129"/>
      <c r="P148" s="240"/>
      <c r="Q148" s="241"/>
      <c r="R148" s="241" t="s">
        <v>215</v>
      </c>
      <c r="S148" s="1754"/>
      <c r="T148" s="1754"/>
      <c r="U148" s="1754"/>
      <c r="V148" s="1754"/>
      <c r="W148" s="242"/>
      <c r="Y148" s="1179"/>
      <c r="Z148" s="1179"/>
      <c r="AA148" s="1179"/>
      <c r="AB148" s="1179"/>
      <c r="AC148" s="1179"/>
      <c r="AD148" s="1179"/>
      <c r="AE148" s="1179"/>
      <c r="AF148" s="1179"/>
      <c r="AG148" s="1179"/>
      <c r="AH148" s="1179"/>
      <c r="AI148" s="1179"/>
      <c r="AJ148" s="1179"/>
      <c r="AK148" s="1179"/>
    </row>
    <row r="149" spans="1:43" s="2073" customFormat="1" ht="17.25" customHeight="1">
      <c r="A149" s="1748"/>
      <c r="C149" s="1753"/>
      <c r="D149" s="2158"/>
      <c r="E149" s="2160"/>
      <c r="F149" s="2162"/>
      <c r="G149" s="2174"/>
      <c r="H149" s="2158"/>
      <c r="I149" s="2158"/>
      <c r="J149" s="2194"/>
      <c r="K149" s="2129"/>
      <c r="L149" s="240"/>
      <c r="M149" s="241"/>
      <c r="N149" s="241" t="s">
        <v>216</v>
      </c>
      <c r="O149" s="241"/>
      <c r="P149" s="241"/>
      <c r="Q149" s="241"/>
      <c r="R149" s="241"/>
      <c r="S149" s="1754"/>
      <c r="T149" s="1754"/>
      <c r="U149" s="1754"/>
      <c r="V149" s="1754"/>
      <c r="W149" s="242"/>
      <c r="Y149" s="1179"/>
      <c r="Z149" s="1179"/>
      <c r="AA149" s="1179"/>
      <c r="AB149" s="1179"/>
      <c r="AC149" s="1179"/>
      <c r="AD149" s="1179"/>
      <c r="AE149" s="1179"/>
      <c r="AF149" s="1179"/>
      <c r="AG149" s="1179"/>
      <c r="AH149" s="1179"/>
      <c r="AI149" s="1179"/>
      <c r="AJ149" s="1179"/>
      <c r="AK149" s="1179"/>
    </row>
    <row r="150" spans="1:43" s="2073" customFormat="1" ht="17.25" customHeight="1">
      <c r="A150" s="1748"/>
      <c r="C150" s="1753"/>
      <c r="D150" s="2158"/>
      <c r="E150" s="2160"/>
      <c r="F150" s="2163"/>
      <c r="G150" s="2174"/>
      <c r="H150" s="240"/>
      <c r="I150" s="241"/>
      <c r="J150" s="241" t="s">
        <v>217</v>
      </c>
      <c r="K150" s="241"/>
      <c r="L150" s="241"/>
      <c r="M150" s="241"/>
      <c r="N150" s="241"/>
      <c r="O150" s="241"/>
      <c r="P150" s="241"/>
      <c r="Q150" s="241"/>
      <c r="R150" s="241"/>
      <c r="S150" s="1754"/>
      <c r="T150" s="1754"/>
      <c r="U150" s="1754"/>
      <c r="V150" s="1754"/>
      <c r="W150" s="242"/>
      <c r="Y150" s="1179"/>
      <c r="Z150" s="1179"/>
      <c r="AA150" s="1179"/>
      <c r="AB150" s="1179"/>
      <c r="AC150" s="1179"/>
      <c r="AD150" s="1179"/>
      <c r="AE150" s="1179"/>
      <c r="AF150" s="1179"/>
      <c r="AG150" s="1179"/>
      <c r="AH150" s="1179"/>
      <c r="AI150" s="1179"/>
      <c r="AJ150" s="1179"/>
      <c r="AK150" s="1179"/>
    </row>
    <row r="151" spans="1:43" ht="17.25" customHeight="1">
      <c r="G151" s="1747"/>
      <c r="H151" s="1747"/>
      <c r="I151" s="1747"/>
      <c r="M151" s="1743"/>
    </row>
    <row r="152" spans="1:43" s="2073" customFormat="1" ht="17.25" customHeight="1">
      <c r="A152" s="1748"/>
      <c r="C152" s="1750"/>
      <c r="D152" s="1738"/>
      <c r="E152" s="1755"/>
      <c r="F152" s="1694"/>
      <c r="G152" s="1756"/>
      <c r="H152" s="2193"/>
      <c r="I152" s="2193">
        <v>1</v>
      </c>
      <c r="J152" s="2192"/>
      <c r="K152" s="2195" t="s">
        <v>61</v>
      </c>
      <c r="L152" s="2125"/>
      <c r="M152" s="2125" t="s">
        <v>108</v>
      </c>
      <c r="N152" s="2453" t="str">
        <f>IF(Z152="","",INDEX(TERRITORY_MR_LIST,MATCH(Z152,TERRITORY_LIST_ID,0)))</f>
        <v/>
      </c>
      <c r="O152" s="2195" t="s">
        <v>61</v>
      </c>
      <c r="P152" s="2125"/>
      <c r="Q152" s="2125" t="s">
        <v>108</v>
      </c>
      <c r="R152" s="2452" t="s">
        <v>24</v>
      </c>
      <c r="S152" s="2124" t="s">
        <v>61</v>
      </c>
      <c r="T152" s="1721"/>
      <c r="U152" s="1721" t="s">
        <v>108</v>
      </c>
      <c r="V152" s="1751" t="s">
        <v>24</v>
      </c>
      <c r="W152" s="1711"/>
      <c r="Y152" s="1186"/>
      <c r="Z152" s="1186"/>
      <c r="AA152" s="1186"/>
      <c r="AB152" s="1186"/>
      <c r="AC152" s="1186"/>
      <c r="AD152" s="1186"/>
      <c r="AE152" s="1186"/>
      <c r="AF152" s="1186"/>
      <c r="AG152" s="1186"/>
      <c r="AH152" s="1186"/>
      <c r="AI152" s="1186"/>
      <c r="AJ152" s="1186"/>
      <c r="AK152" s="1186"/>
      <c r="AL152" s="1752"/>
      <c r="AM152" s="1752"/>
      <c r="AN152" s="1186"/>
      <c r="AO152" s="1186"/>
      <c r="AP152" s="1186"/>
      <c r="AQ152" s="1186"/>
    </row>
    <row r="153" spans="1:43" s="2073" customFormat="1" ht="17.25" customHeight="1">
      <c r="A153" s="1748"/>
      <c r="C153" s="1753"/>
      <c r="D153" s="1738"/>
      <c r="E153" s="1755"/>
      <c r="F153" s="1694"/>
      <c r="G153" s="1756"/>
      <c r="H153" s="2193"/>
      <c r="I153" s="2193"/>
      <c r="J153" s="2192"/>
      <c r="K153" s="2196"/>
      <c r="L153" s="2125"/>
      <c r="M153" s="2125"/>
      <c r="N153" s="2453"/>
      <c r="O153" s="2196"/>
      <c r="P153" s="2125"/>
      <c r="Q153" s="2125"/>
      <c r="R153" s="2452"/>
      <c r="S153" s="2124"/>
      <c r="T153" s="240"/>
      <c r="U153" s="241"/>
      <c r="V153" s="241" t="s">
        <v>405</v>
      </c>
      <c r="W153" s="242"/>
      <c r="Y153" s="1179"/>
      <c r="Z153" s="1179"/>
      <c r="AA153" s="1179"/>
      <c r="AB153" s="1179"/>
      <c r="AC153" s="1179"/>
      <c r="AD153" s="1179"/>
      <c r="AE153" s="1179"/>
      <c r="AF153" s="1179"/>
      <c r="AG153" s="1179"/>
      <c r="AH153" s="1179"/>
      <c r="AI153" s="1179"/>
      <c r="AJ153" s="1179"/>
      <c r="AK153" s="1179"/>
    </row>
    <row r="154" spans="1:43" s="2073" customFormat="1" ht="17.25" customHeight="1">
      <c r="A154" s="1748"/>
      <c r="C154" s="1753"/>
      <c r="D154" s="1738"/>
      <c r="E154" s="1755"/>
      <c r="F154" s="1694"/>
      <c r="G154" s="1756"/>
      <c r="H154" s="2158"/>
      <c r="I154" s="2158"/>
      <c r="J154" s="2194"/>
      <c r="K154" s="2196"/>
      <c r="L154" s="2158"/>
      <c r="M154" s="2158"/>
      <c r="N154" s="2454"/>
      <c r="O154" s="2129"/>
      <c r="P154" s="240"/>
      <c r="Q154" s="241"/>
      <c r="R154" s="241" t="s">
        <v>215</v>
      </c>
      <c r="S154" s="1754"/>
      <c r="T154" s="1754"/>
      <c r="U154" s="1754"/>
      <c r="V154" s="1754"/>
      <c r="W154" s="242"/>
      <c r="Y154" s="1179"/>
      <c r="Z154" s="1179"/>
      <c r="AA154" s="1179"/>
      <c r="AB154" s="1179"/>
      <c r="AC154" s="1179"/>
      <c r="AD154" s="1179"/>
      <c r="AE154" s="1179"/>
      <c r="AF154" s="1179"/>
      <c r="AG154" s="1179"/>
      <c r="AH154" s="1179"/>
      <c r="AI154" s="1179"/>
      <c r="AJ154" s="1179"/>
      <c r="AK154" s="1179"/>
    </row>
    <row r="155" spans="1:43" s="2073" customFormat="1" ht="17.25" customHeight="1">
      <c r="A155" s="1748"/>
      <c r="C155" s="1753"/>
      <c r="D155" s="1738"/>
      <c r="E155" s="1755"/>
      <c r="F155" s="1694"/>
      <c r="G155" s="1756"/>
      <c r="H155" s="2158"/>
      <c r="I155" s="2158"/>
      <c r="J155" s="2194"/>
      <c r="K155" s="2129"/>
      <c r="L155" s="240"/>
      <c r="M155" s="241"/>
      <c r="N155" s="241" t="s">
        <v>216</v>
      </c>
      <c r="O155" s="241"/>
      <c r="P155" s="241"/>
      <c r="Q155" s="241"/>
      <c r="R155" s="241"/>
      <c r="S155" s="1754"/>
      <c r="T155" s="1754"/>
      <c r="U155" s="1754"/>
      <c r="V155" s="1754"/>
      <c r="W155" s="242"/>
      <c r="Y155" s="1179"/>
      <c r="Z155" s="1179"/>
      <c r="AA155" s="1179"/>
      <c r="AB155" s="1179"/>
      <c r="AC155" s="1179"/>
      <c r="AD155" s="1179"/>
      <c r="AE155" s="1179"/>
      <c r="AF155" s="1179"/>
      <c r="AG155" s="1179"/>
      <c r="AH155" s="1179"/>
      <c r="AI155" s="1179"/>
      <c r="AJ155" s="1179"/>
      <c r="AK155" s="1179"/>
    </row>
    <row r="156" spans="1:43" ht="17.25" customHeight="1">
      <c r="G156" s="1747"/>
      <c r="H156" s="1747"/>
      <c r="I156" s="1747"/>
      <c r="M156" s="1743"/>
    </row>
    <row r="157" spans="1:43" s="2073" customFormat="1" ht="17.25" customHeight="1">
      <c r="A157" s="1748"/>
      <c r="C157" s="1750"/>
      <c r="D157" s="1738"/>
      <c r="E157" s="1755"/>
      <c r="F157" s="1694"/>
      <c r="G157" s="1756"/>
      <c r="H157" s="1738"/>
      <c r="I157" s="1738"/>
      <c r="J157" s="1757"/>
      <c r="K157" s="1669"/>
      <c r="L157" s="2125"/>
      <c r="M157" s="2125" t="s">
        <v>108</v>
      </c>
      <c r="N157" s="2453" t="str">
        <f>IF(Z157="","",INDEX(TERRITORY_MR_LIST,MATCH(Z157,TERRITORY_LIST_ID,0)))</f>
        <v/>
      </c>
      <c r="O157" s="2195" t="s">
        <v>61</v>
      </c>
      <c r="P157" s="2125"/>
      <c r="Q157" s="2125" t="s">
        <v>108</v>
      </c>
      <c r="R157" s="2452" t="s">
        <v>24</v>
      </c>
      <c r="S157" s="2124" t="s">
        <v>61</v>
      </c>
      <c r="T157" s="1721"/>
      <c r="U157" s="1721" t="s">
        <v>108</v>
      </c>
      <c r="V157" s="1751" t="s">
        <v>24</v>
      </c>
      <c r="W157" s="1711"/>
      <c r="Y157" s="1186"/>
      <c r="Z157" s="1186"/>
      <c r="AA157" s="1186"/>
      <c r="AB157" s="1186"/>
      <c r="AC157" s="1186"/>
      <c r="AD157" s="1186"/>
      <c r="AE157" s="1186"/>
      <c r="AF157" s="1186"/>
      <c r="AG157" s="1186"/>
      <c r="AH157" s="1186"/>
      <c r="AI157" s="1186"/>
      <c r="AJ157" s="1186"/>
      <c r="AK157" s="1186"/>
      <c r="AL157" s="1752"/>
      <c r="AM157" s="1752"/>
      <c r="AN157" s="1186"/>
      <c r="AO157" s="1186"/>
      <c r="AP157" s="1186"/>
      <c r="AQ157" s="1186"/>
    </row>
    <row r="158" spans="1:43" s="2073" customFormat="1" ht="17.25" customHeight="1">
      <c r="A158" s="1748"/>
      <c r="C158" s="1753"/>
      <c r="D158" s="1738"/>
      <c r="E158" s="1755"/>
      <c r="F158" s="1694"/>
      <c r="G158" s="1756"/>
      <c r="H158" s="1738"/>
      <c r="I158" s="1738"/>
      <c r="J158" s="1757"/>
      <c r="K158" s="1669"/>
      <c r="L158" s="2125"/>
      <c r="M158" s="2125"/>
      <c r="N158" s="2453"/>
      <c r="O158" s="2196"/>
      <c r="P158" s="2125"/>
      <c r="Q158" s="2125"/>
      <c r="R158" s="2452"/>
      <c r="S158" s="2124"/>
      <c r="T158" s="240"/>
      <c r="U158" s="241"/>
      <c r="V158" s="241" t="s">
        <v>405</v>
      </c>
      <c r="W158" s="242"/>
      <c r="Y158" s="1179"/>
      <c r="Z158" s="1179"/>
      <c r="AA158" s="1179"/>
      <c r="AB158" s="1179"/>
      <c r="AC158" s="1179"/>
      <c r="AD158" s="1179"/>
      <c r="AE158" s="1179"/>
      <c r="AF158" s="1179"/>
      <c r="AG158" s="1179"/>
      <c r="AH158" s="1179"/>
      <c r="AI158" s="1179"/>
      <c r="AJ158" s="1179"/>
      <c r="AK158" s="1179"/>
    </row>
    <row r="159" spans="1:43" s="2073" customFormat="1" ht="17.25" customHeight="1">
      <c r="A159" s="1748"/>
      <c r="C159" s="1753"/>
      <c r="D159" s="1738"/>
      <c r="E159" s="1755"/>
      <c r="F159" s="1694"/>
      <c r="G159" s="1756"/>
      <c r="H159" s="1738"/>
      <c r="I159" s="1738"/>
      <c r="J159" s="1757"/>
      <c r="K159" s="1669"/>
      <c r="L159" s="2158"/>
      <c r="M159" s="2158"/>
      <c r="N159" s="2454"/>
      <c r="O159" s="2129"/>
      <c r="P159" s="240"/>
      <c r="Q159" s="241"/>
      <c r="R159" s="241" t="s">
        <v>215</v>
      </c>
      <c r="S159" s="1754"/>
      <c r="T159" s="1754"/>
      <c r="U159" s="1754"/>
      <c r="V159" s="1754"/>
      <c r="W159" s="242"/>
      <c r="Y159" s="1179"/>
      <c r="Z159" s="1179"/>
      <c r="AA159" s="1179"/>
      <c r="AB159" s="1179"/>
      <c r="AC159" s="1179"/>
      <c r="AD159" s="1179"/>
      <c r="AE159" s="1179"/>
      <c r="AF159" s="1179"/>
      <c r="AG159" s="1179"/>
      <c r="AH159" s="1179"/>
      <c r="AI159" s="1179"/>
      <c r="AJ159" s="1179"/>
      <c r="AK159" s="1179"/>
    </row>
    <row r="160" spans="1:43" ht="17.25" customHeight="1">
      <c r="G160" s="1747"/>
      <c r="H160" s="1747"/>
      <c r="I160" s="1747"/>
      <c r="M160" s="1743"/>
    </row>
    <row r="161" spans="1:43" s="2073" customFormat="1" ht="17.25" customHeight="1">
      <c r="A161" s="1748"/>
      <c r="C161" s="1750"/>
      <c r="D161" s="1738"/>
      <c r="E161" s="1755"/>
      <c r="F161" s="1694"/>
      <c r="G161" s="1756"/>
      <c r="H161" s="1738"/>
      <c r="I161" s="1738"/>
      <c r="J161" s="1757"/>
      <c r="K161" s="1669"/>
      <c r="L161" s="1665"/>
      <c r="M161" s="1665"/>
      <c r="N161" s="1758"/>
      <c r="O161" s="1697"/>
      <c r="P161" s="2125"/>
      <c r="Q161" s="2125" t="s">
        <v>108</v>
      </c>
      <c r="R161" s="2452" t="s">
        <v>24</v>
      </c>
      <c r="S161" s="2124" t="s">
        <v>61</v>
      </c>
      <c r="T161" s="1721"/>
      <c r="U161" s="1721" t="s">
        <v>108</v>
      </c>
      <c r="V161" s="1751" t="s">
        <v>24</v>
      </c>
      <c r="W161" s="1711"/>
      <c r="Y161" s="1186"/>
      <c r="Z161" s="1186"/>
      <c r="AA161" s="1186"/>
      <c r="AB161" s="1186"/>
      <c r="AC161" s="1186"/>
      <c r="AD161" s="1186"/>
      <c r="AE161" s="1186"/>
      <c r="AF161" s="1186"/>
      <c r="AG161" s="1186"/>
      <c r="AH161" s="1186"/>
      <c r="AI161" s="1186"/>
      <c r="AJ161" s="1186"/>
      <c r="AK161" s="1186"/>
      <c r="AL161" s="1752"/>
      <c r="AM161" s="1752"/>
      <c r="AN161" s="1186"/>
      <c r="AO161" s="1186"/>
      <c r="AP161" s="1186"/>
      <c r="AQ161" s="1186"/>
    </row>
    <row r="162" spans="1:43" s="2073" customFormat="1" ht="17.25" customHeight="1">
      <c r="A162" s="1748"/>
      <c r="C162" s="1753"/>
      <c r="D162" s="1738"/>
      <c r="E162" s="1755"/>
      <c r="F162" s="1694"/>
      <c r="G162" s="1756"/>
      <c r="H162" s="1738"/>
      <c r="I162" s="1738"/>
      <c r="J162" s="1757"/>
      <c r="K162" s="1669"/>
      <c r="L162" s="1665"/>
      <c r="M162" s="1665"/>
      <c r="N162" s="1758"/>
      <c r="O162" s="1697"/>
      <c r="P162" s="2125"/>
      <c r="Q162" s="2125"/>
      <c r="R162" s="2452"/>
      <c r="S162" s="2124"/>
      <c r="T162" s="240"/>
      <c r="U162" s="241"/>
      <c r="V162" s="241" t="s">
        <v>405</v>
      </c>
      <c r="W162" s="242"/>
      <c r="Y162" s="1179"/>
      <c r="Z162" s="1179"/>
      <c r="AA162" s="1179"/>
      <c r="AB162" s="1179"/>
      <c r="AC162" s="1179"/>
      <c r="AD162" s="1179"/>
      <c r="AE162" s="1179"/>
      <c r="AF162" s="1179"/>
      <c r="AG162" s="1179"/>
      <c r="AH162" s="1179"/>
      <c r="AI162" s="1179"/>
      <c r="AJ162" s="1179"/>
      <c r="AK162" s="1179"/>
    </row>
    <row r="163" spans="1:43" ht="17.25" customHeight="1">
      <c r="G163" s="1747"/>
      <c r="H163" s="1747"/>
      <c r="I163" s="1747"/>
      <c r="M163" s="1743"/>
    </row>
    <row r="164" spans="1:43" s="2073" customFormat="1" ht="17.25" customHeight="1">
      <c r="A164" s="1748"/>
      <c r="C164" s="1750"/>
      <c r="D164" s="1738"/>
      <c r="E164" s="1755"/>
      <c r="F164" s="1694"/>
      <c r="G164" s="1756"/>
      <c r="H164" s="1665"/>
      <c r="I164" s="1665"/>
      <c r="J164" s="1666"/>
      <c r="K164" s="1756"/>
      <c r="L164" s="1665"/>
      <c r="M164" s="1665"/>
      <c r="N164" s="1756"/>
      <c r="O164" s="1756"/>
      <c r="P164" s="1665"/>
      <c r="Q164" s="1665"/>
      <c r="R164" s="1667"/>
      <c r="S164" s="1756"/>
      <c r="T164" s="1721"/>
      <c r="U164" s="1721" t="s">
        <v>108</v>
      </c>
      <c r="V164" s="1751" t="s">
        <v>24</v>
      </c>
      <c r="W164" s="1711"/>
      <c r="Y164" s="1186"/>
      <c r="Z164" s="1186"/>
      <c r="AA164" s="1186"/>
      <c r="AB164" s="1186"/>
      <c r="AC164" s="1186"/>
      <c r="AD164" s="1186"/>
      <c r="AE164" s="1186"/>
      <c r="AF164" s="1186"/>
      <c r="AG164" s="1186"/>
      <c r="AH164" s="1186"/>
      <c r="AI164" s="1186"/>
      <c r="AJ164" s="1186"/>
      <c r="AK164" s="1186"/>
      <c r="AL164" s="1752"/>
      <c r="AM164" s="1752"/>
      <c r="AN164" s="1186"/>
      <c r="AO164" s="1186"/>
      <c r="AP164" s="1186"/>
      <c r="AQ164" s="1186"/>
    </row>
    <row r="166" spans="1:43" s="2070" customFormat="1" ht="17.25" customHeight="1">
      <c r="A166" s="1725" t="s">
        <v>1165</v>
      </c>
    </row>
    <row r="167" spans="1:43" ht="17.25" customHeight="1">
      <c r="G167" s="1747"/>
      <c r="H167" s="1747"/>
      <c r="I167" s="1747"/>
      <c r="M167" s="1743"/>
    </row>
    <row r="168" spans="1:43" s="2073" customFormat="1" ht="17.25" customHeight="1">
      <c r="A168" s="1748"/>
      <c r="C168" s="1750"/>
      <c r="D168" s="2193"/>
      <c r="E168" s="2159"/>
      <c r="F168" s="2161"/>
      <c r="G168" s="2173"/>
      <c r="H168" s="2193"/>
      <c r="I168" s="2193">
        <v>1</v>
      </c>
      <c r="J168" s="2192"/>
      <c r="K168" s="2195" t="s">
        <v>61</v>
      </c>
      <c r="L168" s="2125"/>
      <c r="M168" s="2125" t="s">
        <v>108</v>
      </c>
      <c r="N168" s="2453" t="str">
        <f>IF(Z168="","",INDEX(TERRITORY_MR_LIST,MATCH(Z168,TERRITORY_LIST_ID,0)))</f>
        <v/>
      </c>
      <c r="O168" s="2195" t="s">
        <v>61</v>
      </c>
      <c r="P168" s="2125"/>
      <c r="Q168" s="2125" t="s">
        <v>108</v>
      </c>
      <c r="R168" s="2452" t="s">
        <v>24</v>
      </c>
      <c r="S168" s="2191" t="s">
        <v>56</v>
      </c>
      <c r="T168" s="1712"/>
      <c r="U168" s="1712" t="s">
        <v>108</v>
      </c>
      <c r="V168" s="1349"/>
      <c r="W168" s="2192"/>
      <c r="Y168" s="1186"/>
      <c r="Z168" s="1186"/>
      <c r="AA168" s="1186"/>
      <c r="AB168" s="1186"/>
      <c r="AC168" s="1186"/>
      <c r="AD168" s="1186"/>
      <c r="AE168" s="1186"/>
      <c r="AF168" s="1186"/>
      <c r="AG168" s="1186"/>
      <c r="AH168" s="1186"/>
      <c r="AI168" s="1186"/>
      <c r="AJ168" s="1186"/>
      <c r="AK168" s="1186"/>
      <c r="AL168" s="1752"/>
      <c r="AM168" s="1752"/>
      <c r="AN168" s="1186"/>
      <c r="AO168" s="1186"/>
      <c r="AP168" s="1186"/>
      <c r="AQ168" s="1186"/>
    </row>
    <row r="169" spans="1:43" s="2073" customFormat="1" ht="17.25" customHeight="1">
      <c r="A169" s="1748"/>
      <c r="C169" s="1753"/>
      <c r="D169" s="2193"/>
      <c r="E169" s="2159"/>
      <c r="F169" s="2162"/>
      <c r="G169" s="2173"/>
      <c r="H169" s="2193"/>
      <c r="I169" s="2193"/>
      <c r="J169" s="2192"/>
      <c r="K169" s="2196"/>
      <c r="L169" s="2125"/>
      <c r="M169" s="2125"/>
      <c r="N169" s="2453"/>
      <c r="O169" s="2196"/>
      <c r="P169" s="2125"/>
      <c r="Q169" s="2125"/>
      <c r="R169" s="2452"/>
      <c r="S169" s="2191"/>
      <c r="T169" s="1350"/>
      <c r="U169" s="1351"/>
      <c r="V169" s="1351"/>
      <c r="W169" s="2192"/>
      <c r="Y169" s="1179"/>
      <c r="Z169" s="1179"/>
      <c r="AA169" s="1179"/>
      <c r="AB169" s="1179"/>
      <c r="AC169" s="1179"/>
      <c r="AD169" s="1179"/>
      <c r="AE169" s="1179"/>
      <c r="AF169" s="1179"/>
      <c r="AG169" s="1179"/>
      <c r="AH169" s="1179"/>
      <c r="AI169" s="1179"/>
      <c r="AJ169" s="1179"/>
      <c r="AK169" s="1179"/>
    </row>
    <row r="170" spans="1:43" s="2073" customFormat="1" ht="17.25" customHeight="1">
      <c r="A170" s="1748"/>
      <c r="C170" s="1753"/>
      <c r="D170" s="2158"/>
      <c r="E170" s="2160"/>
      <c r="F170" s="2162"/>
      <c r="G170" s="2174"/>
      <c r="H170" s="2158"/>
      <c r="I170" s="2158"/>
      <c r="J170" s="2194"/>
      <c r="K170" s="2196"/>
      <c r="L170" s="2158"/>
      <c r="M170" s="2158"/>
      <c r="N170" s="2454"/>
      <c r="O170" s="2129"/>
      <c r="P170" s="240"/>
      <c r="Q170" s="241"/>
      <c r="R170" s="241" t="s">
        <v>215</v>
      </c>
      <c r="S170" s="1754"/>
      <c r="T170" s="1754"/>
      <c r="U170" s="1754"/>
      <c r="V170" s="1754"/>
      <c r="W170" s="1348"/>
      <c r="Y170" s="1179"/>
      <c r="Z170" s="1179"/>
      <c r="AA170" s="1179"/>
      <c r="AB170" s="1179"/>
      <c r="AC170" s="1179"/>
      <c r="AD170" s="1179"/>
      <c r="AE170" s="1179"/>
      <c r="AF170" s="1179"/>
      <c r="AG170" s="1179"/>
      <c r="AH170" s="1179"/>
      <c r="AI170" s="1179"/>
      <c r="AJ170" s="1179"/>
      <c r="AK170" s="1179"/>
    </row>
    <row r="171" spans="1:43" s="2073" customFormat="1" ht="17.25" customHeight="1">
      <c r="A171" s="1748"/>
      <c r="C171" s="1753"/>
      <c r="D171" s="2158"/>
      <c r="E171" s="2160"/>
      <c r="F171" s="2162"/>
      <c r="G171" s="2174"/>
      <c r="H171" s="2158"/>
      <c r="I171" s="2158"/>
      <c r="J171" s="2194"/>
      <c r="K171" s="2129"/>
      <c r="L171" s="240"/>
      <c r="M171" s="241"/>
      <c r="N171" s="241" t="s">
        <v>216</v>
      </c>
      <c r="O171" s="241"/>
      <c r="P171" s="241"/>
      <c r="Q171" s="241"/>
      <c r="R171" s="241"/>
      <c r="S171" s="1754"/>
      <c r="T171" s="1754"/>
      <c r="U171" s="1754"/>
      <c r="V171" s="1754"/>
      <c r="W171" s="242"/>
      <c r="Y171" s="1179"/>
      <c r="Z171" s="1179"/>
      <c r="AA171" s="1179"/>
      <c r="AB171" s="1179"/>
      <c r="AC171" s="1179"/>
      <c r="AD171" s="1179"/>
      <c r="AE171" s="1179"/>
      <c r="AF171" s="1179"/>
      <c r="AG171" s="1179"/>
      <c r="AH171" s="1179"/>
      <c r="AI171" s="1179"/>
      <c r="AJ171" s="1179"/>
      <c r="AK171" s="1179"/>
    </row>
    <row r="172" spans="1:43" s="2073" customFormat="1" ht="17.25" customHeight="1">
      <c r="A172" s="1748"/>
      <c r="C172" s="1753"/>
      <c r="D172" s="2158"/>
      <c r="E172" s="2160"/>
      <c r="F172" s="2163"/>
      <c r="G172" s="2174"/>
      <c r="H172" s="240"/>
      <c r="I172" s="241"/>
      <c r="J172" s="241" t="s">
        <v>217</v>
      </c>
      <c r="K172" s="241"/>
      <c r="L172" s="241"/>
      <c r="M172" s="241"/>
      <c r="N172" s="241"/>
      <c r="O172" s="241"/>
      <c r="P172" s="241"/>
      <c r="Q172" s="241"/>
      <c r="R172" s="241"/>
      <c r="S172" s="1754"/>
      <c r="T172" s="1754"/>
      <c r="U172" s="1754"/>
      <c r="V172" s="1754"/>
      <c r="W172" s="242"/>
      <c r="Y172" s="1179"/>
      <c r="Z172" s="1179"/>
      <c r="AA172" s="1179"/>
      <c r="AB172" s="1179"/>
      <c r="AC172" s="1179"/>
      <c r="AD172" s="1179"/>
      <c r="AE172" s="1179"/>
      <c r="AF172" s="1179"/>
      <c r="AG172" s="1179"/>
      <c r="AH172" s="1179"/>
      <c r="AI172" s="1179"/>
      <c r="AJ172" s="1179"/>
      <c r="AK172" s="1179"/>
    </row>
    <row r="173" spans="1:43" ht="17.25" customHeight="1">
      <c r="A173" s="1759"/>
    </row>
    <row r="174" spans="1:43" s="2073" customFormat="1" ht="17.25" customHeight="1">
      <c r="A174" s="1748"/>
      <c r="C174" s="1750"/>
      <c r="D174" s="1738"/>
      <c r="E174" s="1755"/>
      <c r="F174" s="1694"/>
      <c r="G174" s="1756"/>
      <c r="H174" s="2193"/>
      <c r="I174" s="2193">
        <v>1</v>
      </c>
      <c r="J174" s="2192"/>
      <c r="K174" s="2195" t="s">
        <v>61</v>
      </c>
      <c r="L174" s="2125"/>
      <c r="M174" s="2125" t="s">
        <v>108</v>
      </c>
      <c r="N174" s="2453" t="str">
        <f>IF(Z174="","",INDEX(TERRITORY_MR_LIST,MATCH(Z174,TERRITORY_LIST_ID,0)))</f>
        <v/>
      </c>
      <c r="O174" s="2195" t="s">
        <v>61</v>
      </c>
      <c r="P174" s="2125"/>
      <c r="Q174" s="2125" t="s">
        <v>108</v>
      </c>
      <c r="R174" s="2452" t="s">
        <v>24</v>
      </c>
      <c r="S174" s="2191" t="s">
        <v>56</v>
      </c>
      <c r="T174" s="1712"/>
      <c r="U174" s="1712" t="s">
        <v>108</v>
      </c>
      <c r="V174" s="1349"/>
      <c r="W174" s="2192"/>
      <c r="Y174" s="1186"/>
      <c r="Z174" s="1186"/>
      <c r="AA174" s="1186"/>
      <c r="AB174" s="1186"/>
      <c r="AC174" s="1186"/>
      <c r="AD174" s="1186"/>
      <c r="AE174" s="1186"/>
      <c r="AF174" s="1186"/>
      <c r="AG174" s="1186"/>
      <c r="AH174" s="1186"/>
      <c r="AI174" s="1186"/>
      <c r="AJ174" s="1186"/>
      <c r="AK174" s="1186"/>
      <c r="AL174" s="1752"/>
      <c r="AM174" s="1752"/>
      <c r="AN174" s="1186"/>
      <c r="AO174" s="1186"/>
      <c r="AP174" s="1186"/>
      <c r="AQ174" s="1186"/>
    </row>
    <row r="175" spans="1:43" s="2073" customFormat="1" ht="17.25" customHeight="1">
      <c r="A175" s="1748"/>
      <c r="C175" s="1753"/>
      <c r="D175" s="1738"/>
      <c r="E175" s="1755"/>
      <c r="F175" s="1694"/>
      <c r="G175" s="1756"/>
      <c r="H175" s="2193"/>
      <c r="I175" s="2193"/>
      <c r="J175" s="2192"/>
      <c r="K175" s="2196"/>
      <c r="L175" s="2125"/>
      <c r="M175" s="2125"/>
      <c r="N175" s="2453"/>
      <c r="O175" s="2196"/>
      <c r="P175" s="2125"/>
      <c r="Q175" s="2125"/>
      <c r="R175" s="2452"/>
      <c r="S175" s="2191"/>
      <c r="T175" s="1350"/>
      <c r="U175" s="1351"/>
      <c r="V175" s="1351"/>
      <c r="W175" s="2192"/>
      <c r="Y175" s="1179"/>
      <c r="Z175" s="1179"/>
      <c r="AA175" s="1179"/>
      <c r="AB175" s="1179"/>
      <c r="AC175" s="1179"/>
      <c r="AD175" s="1179"/>
      <c r="AE175" s="1179"/>
      <c r="AF175" s="1179"/>
      <c r="AG175" s="1179"/>
      <c r="AH175" s="1179"/>
      <c r="AI175" s="1179"/>
      <c r="AJ175" s="1179"/>
      <c r="AK175" s="1179"/>
    </row>
    <row r="176" spans="1:43" s="2073" customFormat="1" ht="17.25" customHeight="1">
      <c r="A176" s="1748"/>
      <c r="C176" s="1753"/>
      <c r="D176" s="1738"/>
      <c r="E176" s="1755"/>
      <c r="F176" s="1694"/>
      <c r="G176" s="1756"/>
      <c r="H176" s="2158"/>
      <c r="I176" s="2158"/>
      <c r="J176" s="2194"/>
      <c r="K176" s="2196"/>
      <c r="L176" s="2158"/>
      <c r="M176" s="2158"/>
      <c r="N176" s="2454"/>
      <c r="O176" s="2129"/>
      <c r="P176" s="240"/>
      <c r="Q176" s="241"/>
      <c r="R176" s="241" t="s">
        <v>215</v>
      </c>
      <c r="S176" s="1754"/>
      <c r="T176" s="1754"/>
      <c r="U176" s="1754"/>
      <c r="V176" s="1754"/>
      <c r="W176" s="1348"/>
      <c r="Y176" s="1179"/>
      <c r="Z176" s="1179"/>
      <c r="AA176" s="1179"/>
      <c r="AB176" s="1179"/>
      <c r="AC176" s="1179"/>
      <c r="AD176" s="1179"/>
      <c r="AE176" s="1179"/>
      <c r="AF176" s="1179"/>
      <c r="AG176" s="1179"/>
      <c r="AH176" s="1179"/>
      <c r="AI176" s="1179"/>
      <c r="AJ176" s="1179"/>
      <c r="AK176" s="1179"/>
    </row>
    <row r="177" spans="1:43" s="2073" customFormat="1" ht="17.25" customHeight="1">
      <c r="A177" s="1748"/>
      <c r="C177" s="1753"/>
      <c r="D177" s="1738"/>
      <c r="E177" s="1755"/>
      <c r="F177" s="1694"/>
      <c r="G177" s="1756"/>
      <c r="H177" s="2158"/>
      <c r="I177" s="2158"/>
      <c r="J177" s="2194"/>
      <c r="K177" s="2129"/>
      <c r="L177" s="240"/>
      <c r="M177" s="241"/>
      <c r="N177" s="241" t="s">
        <v>216</v>
      </c>
      <c r="O177" s="241"/>
      <c r="P177" s="241"/>
      <c r="Q177" s="241"/>
      <c r="R177" s="241"/>
      <c r="S177" s="1754"/>
      <c r="T177" s="1754"/>
      <c r="U177" s="1754"/>
      <c r="V177" s="1754"/>
      <c r="W177" s="242"/>
      <c r="Y177" s="1179"/>
      <c r="Z177" s="1179"/>
      <c r="AA177" s="1179"/>
      <c r="AB177" s="1179"/>
      <c r="AC177" s="1179"/>
      <c r="AD177" s="1179"/>
      <c r="AE177" s="1179"/>
      <c r="AF177" s="1179"/>
      <c r="AG177" s="1179"/>
      <c r="AH177" s="1179"/>
      <c r="AI177" s="1179"/>
      <c r="AJ177" s="1179"/>
      <c r="AK177" s="1179"/>
    </row>
    <row r="178" spans="1:43" ht="17.25" customHeight="1">
      <c r="A178" s="1759"/>
    </row>
    <row r="179" spans="1:43" s="2073" customFormat="1" ht="17.25" customHeight="1">
      <c r="A179" s="1748"/>
      <c r="C179" s="1750"/>
      <c r="D179" s="1738"/>
      <c r="E179" s="1755"/>
      <c r="F179" s="1694"/>
      <c r="G179" s="1756"/>
      <c r="H179" s="1738"/>
      <c r="I179" s="1738"/>
      <c r="J179" s="1760"/>
      <c r="K179" s="1756"/>
      <c r="L179" s="2125"/>
      <c r="M179" s="2125" t="s">
        <v>108</v>
      </c>
      <c r="N179" s="2453" t="str">
        <f>IF(Z179="","",INDEX(TERRITORY_MR_LIST,MATCH(Z179,TERRITORY_LIST_ID,0)))</f>
        <v/>
      </c>
      <c r="O179" s="2195" t="s">
        <v>61</v>
      </c>
      <c r="P179" s="2125"/>
      <c r="Q179" s="2125" t="s">
        <v>108</v>
      </c>
      <c r="R179" s="2452" t="s">
        <v>24</v>
      </c>
      <c r="S179" s="2191" t="s">
        <v>56</v>
      </c>
      <c r="T179" s="1712"/>
      <c r="U179" s="1712" t="s">
        <v>108</v>
      </c>
      <c r="V179" s="1349"/>
      <c r="W179" s="2192"/>
      <c r="Y179" s="1186"/>
      <c r="Z179" s="1186"/>
      <c r="AA179" s="1186"/>
      <c r="AB179" s="1186"/>
      <c r="AC179" s="1186"/>
      <c r="AD179" s="1186"/>
      <c r="AE179" s="1186"/>
      <c r="AF179" s="1186"/>
      <c r="AG179" s="1186"/>
      <c r="AH179" s="1186"/>
      <c r="AI179" s="1186"/>
      <c r="AJ179" s="1186"/>
      <c r="AK179" s="1186"/>
      <c r="AL179" s="1752"/>
      <c r="AM179" s="1752"/>
      <c r="AN179" s="1186"/>
      <c r="AO179" s="1186"/>
      <c r="AP179" s="1186"/>
      <c r="AQ179" s="1186"/>
    </row>
    <row r="180" spans="1:43" s="2073" customFormat="1" ht="17.25" customHeight="1">
      <c r="A180" s="1748"/>
      <c r="C180" s="1753"/>
      <c r="D180" s="1738"/>
      <c r="E180" s="1755"/>
      <c r="F180" s="1694"/>
      <c r="G180" s="1756"/>
      <c r="H180" s="1738"/>
      <c r="I180" s="1738"/>
      <c r="J180" s="1760"/>
      <c r="K180" s="1756"/>
      <c r="L180" s="2125"/>
      <c r="M180" s="2125"/>
      <c r="N180" s="2453"/>
      <c r="O180" s="2196"/>
      <c r="P180" s="2125"/>
      <c r="Q180" s="2125"/>
      <c r="R180" s="2452"/>
      <c r="S180" s="2191"/>
      <c r="T180" s="1350"/>
      <c r="U180" s="1351"/>
      <c r="V180" s="1351"/>
      <c r="W180" s="2192"/>
      <c r="Y180" s="1179"/>
      <c r="Z180" s="1179"/>
      <c r="AA180" s="1179"/>
      <c r="AB180" s="1179"/>
      <c r="AC180" s="1179"/>
      <c r="AD180" s="1179"/>
      <c r="AE180" s="1179"/>
      <c r="AF180" s="1179"/>
      <c r="AG180" s="1179"/>
      <c r="AH180" s="1179"/>
      <c r="AI180" s="1179"/>
      <c r="AJ180" s="1179"/>
      <c r="AK180" s="1179"/>
    </row>
    <row r="181" spans="1:43" s="2073" customFormat="1" ht="17.25" customHeight="1">
      <c r="A181" s="1748"/>
      <c r="C181" s="1753"/>
      <c r="D181" s="1738"/>
      <c r="E181" s="1755"/>
      <c r="F181" s="1694"/>
      <c r="G181" s="1756"/>
      <c r="H181" s="1738"/>
      <c r="I181" s="1738"/>
      <c r="J181" s="1760"/>
      <c r="K181" s="1756"/>
      <c r="L181" s="2158"/>
      <c r="M181" s="2158"/>
      <c r="N181" s="2454"/>
      <c r="O181" s="2129"/>
      <c r="P181" s="240"/>
      <c r="Q181" s="241"/>
      <c r="R181" s="241" t="s">
        <v>215</v>
      </c>
      <c r="S181" s="1754"/>
      <c r="T181" s="1754"/>
      <c r="U181" s="1754"/>
      <c r="V181" s="1754"/>
      <c r="W181" s="1348"/>
      <c r="Y181" s="1179"/>
      <c r="Z181" s="1179"/>
      <c r="AA181" s="1179"/>
      <c r="AB181" s="1179"/>
      <c r="AC181" s="1179"/>
      <c r="AD181" s="1179"/>
      <c r="AE181" s="1179"/>
      <c r="AF181" s="1179"/>
      <c r="AG181" s="1179"/>
      <c r="AH181" s="1179"/>
      <c r="AI181" s="1179"/>
      <c r="AJ181" s="1179"/>
      <c r="AK181" s="1179"/>
    </row>
    <row r="182" spans="1:43" ht="17.25" customHeight="1">
      <c r="A182" s="1759"/>
    </row>
    <row r="183" spans="1:43" s="2073" customFormat="1" ht="17.25" customHeight="1">
      <c r="A183" s="1748"/>
      <c r="C183" s="1750"/>
      <c r="D183" s="1738"/>
      <c r="E183" s="1755"/>
      <c r="F183" s="1694"/>
      <c r="G183" s="1756"/>
      <c r="H183" s="1738"/>
      <c r="I183" s="1738"/>
      <c r="J183" s="1760"/>
      <c r="K183" s="1756"/>
      <c r="L183" s="1738"/>
      <c r="M183" s="1738"/>
      <c r="N183" s="1758"/>
      <c r="O183" s="1697"/>
      <c r="P183" s="2125"/>
      <c r="Q183" s="2125" t="s">
        <v>108</v>
      </c>
      <c r="R183" s="2452" t="s">
        <v>24</v>
      </c>
      <c r="S183" s="2191" t="s">
        <v>56</v>
      </c>
      <c r="T183" s="1712"/>
      <c r="U183" s="1712" t="s">
        <v>108</v>
      </c>
      <c r="V183" s="1349"/>
      <c r="W183" s="2192"/>
      <c r="Y183" s="1186"/>
      <c r="Z183" s="1186"/>
      <c r="AA183" s="1186"/>
      <c r="AB183" s="1186"/>
      <c r="AC183" s="1186"/>
      <c r="AD183" s="1186"/>
      <c r="AE183" s="1186"/>
      <c r="AF183" s="1186"/>
      <c r="AG183" s="1186"/>
      <c r="AH183" s="1186"/>
      <c r="AI183" s="1186"/>
      <c r="AJ183" s="1186"/>
      <c r="AK183" s="1186"/>
      <c r="AL183" s="1752"/>
      <c r="AM183" s="1752"/>
      <c r="AN183" s="1186"/>
      <c r="AO183" s="1186"/>
      <c r="AP183" s="1186"/>
      <c r="AQ183" s="1186"/>
    </row>
    <row r="184" spans="1:43" s="2073" customFormat="1" ht="17.25" customHeight="1">
      <c r="A184" s="1748"/>
      <c r="C184" s="1753"/>
      <c r="D184" s="1738"/>
      <c r="E184" s="1755"/>
      <c r="F184" s="1694"/>
      <c r="G184" s="1756"/>
      <c r="H184" s="1738"/>
      <c r="I184" s="1738"/>
      <c r="J184" s="1760"/>
      <c r="K184" s="1756"/>
      <c r="L184" s="1738"/>
      <c r="M184" s="1738"/>
      <c r="N184" s="1758"/>
      <c r="O184" s="1697"/>
      <c r="P184" s="2125"/>
      <c r="Q184" s="2125"/>
      <c r="R184" s="2452"/>
      <c r="S184" s="2191"/>
      <c r="T184" s="1350"/>
      <c r="U184" s="1351"/>
      <c r="V184" s="1351"/>
      <c r="W184" s="2192"/>
      <c r="Y184" s="1179"/>
      <c r="Z184" s="1179"/>
      <c r="AA184" s="1179"/>
      <c r="AB184" s="1179"/>
      <c r="AC184" s="1179"/>
      <c r="AD184" s="1179"/>
      <c r="AE184" s="1179"/>
      <c r="AF184" s="1179"/>
      <c r="AG184" s="1179"/>
      <c r="AH184" s="1179"/>
      <c r="AI184" s="1179"/>
      <c r="AJ184" s="1179"/>
      <c r="AK184" s="1179"/>
    </row>
    <row r="185" spans="1:43" ht="17.25" customHeight="1">
      <c r="A185" s="1759"/>
    </row>
    <row r="186" spans="1:43" ht="16.5" customHeight="1">
      <c r="A186" s="1748"/>
      <c r="B186" s="1749"/>
      <c r="C186" s="1753"/>
      <c r="D186" s="2193"/>
      <c r="E186" s="2203"/>
      <c r="F186" s="2203"/>
      <c r="G186" s="2143"/>
      <c r="H186" s="2164"/>
      <c r="I186" s="2166"/>
      <c r="J186" s="2168"/>
      <c r="K186" s="2151"/>
      <c r="L186" s="2151"/>
      <c r="M186" s="2151"/>
      <c r="N186" s="2153"/>
      <c r="O186" s="2151"/>
      <c r="P186" s="2151"/>
      <c r="Q186" s="2151"/>
      <c r="R186" s="2156"/>
      <c r="S186" s="2151"/>
      <c r="T186" s="1693"/>
      <c r="U186" s="1693"/>
      <c r="V186" s="1761"/>
      <c r="W186" s="1215"/>
    </row>
    <row r="187" spans="1:43" ht="16.5" customHeight="1">
      <c r="A187" s="1748"/>
      <c r="B187" s="1749"/>
      <c r="C187" s="1753"/>
      <c r="D187" s="2193"/>
      <c r="E187" s="2203"/>
      <c r="F187" s="2203"/>
      <c r="G187" s="2143"/>
      <c r="H187" s="2165"/>
      <c r="I187" s="2167"/>
      <c r="J187" s="2169"/>
      <c r="K187" s="2152"/>
      <c r="L187" s="2152"/>
      <c r="M187" s="2152"/>
      <c r="N187" s="2154"/>
      <c r="O187" s="2152"/>
      <c r="P187" s="2152"/>
      <c r="Q187" s="2152"/>
      <c r="R187" s="2155"/>
      <c r="S187" s="2152"/>
      <c r="T187" s="1216"/>
      <c r="U187" s="1216"/>
      <c r="V187" s="1216"/>
      <c r="W187" s="1217"/>
    </row>
    <row r="188" spans="1:43" ht="17.25" customHeight="1">
      <c r="A188" s="1748"/>
      <c r="B188" s="1749"/>
      <c r="C188" s="1753"/>
      <c r="D188" s="2193"/>
      <c r="E188" s="2203"/>
      <c r="F188" s="2203"/>
      <c r="G188" s="2143"/>
      <c r="H188" s="2165"/>
      <c r="I188" s="2167"/>
      <c r="J188" s="2170"/>
      <c r="K188" s="2152"/>
      <c r="L188" s="2152"/>
      <c r="M188" s="2152"/>
      <c r="N188" s="2155"/>
      <c r="O188" s="2152"/>
      <c r="P188" s="1696"/>
      <c r="Q188" s="1216"/>
      <c r="R188" s="1216"/>
      <c r="S188" s="1762"/>
      <c r="T188" s="1762"/>
      <c r="U188" s="1762"/>
      <c r="V188" s="1762"/>
      <c r="W188" s="1217"/>
    </row>
    <row r="189" spans="1:43" ht="17.25" customHeight="1">
      <c r="A189" s="1748"/>
      <c r="B189" s="1749"/>
      <c r="C189" s="1753"/>
      <c r="D189" s="2193"/>
      <c r="E189" s="2203"/>
      <c r="F189" s="2203"/>
      <c r="G189" s="2143"/>
      <c r="H189" s="2165"/>
      <c r="I189" s="2167"/>
      <c r="J189" s="2170"/>
      <c r="K189" s="2152"/>
      <c r="L189" s="1216"/>
      <c r="M189" s="1216"/>
      <c r="N189" s="1216"/>
      <c r="O189" s="1216"/>
      <c r="P189" s="1216"/>
      <c r="Q189" s="1216"/>
      <c r="R189" s="1216"/>
      <c r="S189" s="1762"/>
      <c r="T189" s="1762"/>
      <c r="U189" s="1762"/>
      <c r="V189" s="1762"/>
      <c r="W189" s="1217"/>
    </row>
    <row r="190" spans="1:43" ht="17.25" customHeight="1">
      <c r="A190" s="1748"/>
      <c r="B190" s="1749"/>
      <c r="C190" s="1753"/>
      <c r="D190" s="2193"/>
      <c r="E190" s="2203"/>
      <c r="F190" s="2203"/>
      <c r="G190" s="2143"/>
      <c r="H190" s="1218"/>
      <c r="I190" s="1219"/>
      <c r="J190" s="1219"/>
      <c r="K190" s="1219"/>
      <c r="L190" s="1219"/>
      <c r="M190" s="1219"/>
      <c r="N190" s="1219"/>
      <c r="O190" s="1219"/>
      <c r="P190" s="1219"/>
      <c r="Q190" s="1219"/>
      <c r="R190" s="1219"/>
      <c r="S190" s="1763"/>
      <c r="T190" s="1763"/>
      <c r="U190" s="1763"/>
      <c r="V190" s="1763"/>
      <c r="W190" s="1221"/>
    </row>
    <row r="192" spans="1:43" s="2070" customFormat="1" ht="17.25" customHeight="1">
      <c r="A192" s="1725" t="s">
        <v>1166</v>
      </c>
    </row>
    <row r="193" spans="1:63" ht="17.25" customHeight="1">
      <c r="G193" s="1747"/>
      <c r="H193" s="1747"/>
      <c r="I193" s="1747"/>
      <c r="M193" s="1743"/>
    </row>
    <row r="194" spans="1:63" s="1831" customFormat="1" ht="15" customHeight="1">
      <c r="D194" s="2470"/>
      <c r="E194" s="2218"/>
      <c r="F194" s="2218"/>
      <c r="G194" s="2195"/>
      <c r="H194" s="1481"/>
      <c r="I194" s="2474">
        <v>1</v>
      </c>
      <c r="J194" s="2192"/>
      <c r="K194" s="1496"/>
      <c r="L194" s="2195" t="s">
        <v>61</v>
      </c>
      <c r="M194" s="2195" t="s">
        <v>61</v>
      </c>
      <c r="N194" s="1481"/>
      <c r="O194" s="2125" t="s">
        <v>108</v>
      </c>
      <c r="P194" s="2464"/>
      <c r="Q194" s="1497"/>
      <c r="R194" s="2195" t="s">
        <v>61</v>
      </c>
      <c r="S194" s="2195" t="s">
        <v>61</v>
      </c>
      <c r="T194" s="1764"/>
      <c r="U194" s="2125" t="s">
        <v>108</v>
      </c>
      <c r="V194" s="2471" t="str">
        <f>IF(AK194="","",INDEX(TERRITORY_MR_LIST,MATCH(AK194,TERRITORY_LIST_ID,0)))</f>
        <v/>
      </c>
      <c r="W194" s="1498"/>
      <c r="X194" s="2195" t="s">
        <v>61</v>
      </c>
      <c r="Y194" s="2195" t="s">
        <v>56</v>
      </c>
      <c r="Z194" s="1481"/>
      <c r="AA194" s="2125" t="s">
        <v>108</v>
      </c>
      <c r="AB194" s="2473"/>
      <c r="AC194" s="1499"/>
      <c r="AD194" s="2195" t="s">
        <v>61</v>
      </c>
      <c r="AE194" s="2195" t="s">
        <v>56</v>
      </c>
      <c r="AF194" s="1479"/>
      <c r="AG194" s="1721" t="s">
        <v>108</v>
      </c>
      <c r="AH194" s="1489"/>
      <c r="AI194" s="1711"/>
    </row>
    <row r="195" spans="1:63" s="1831" customFormat="1" ht="15" customHeight="1">
      <c r="D195" s="2470"/>
      <c r="E195" s="2218"/>
      <c r="F195" s="2218"/>
      <c r="G195" s="2196"/>
      <c r="H195" s="1481"/>
      <c r="I195" s="2474"/>
      <c r="J195" s="2192"/>
      <c r="K195" s="1480"/>
      <c r="L195" s="2196"/>
      <c r="M195" s="2196"/>
      <c r="N195" s="1481"/>
      <c r="O195" s="2125"/>
      <c r="P195" s="2464"/>
      <c r="Q195" s="1477"/>
      <c r="R195" s="2196"/>
      <c r="S195" s="2196"/>
      <c r="T195" s="1764"/>
      <c r="U195" s="2125"/>
      <c r="V195" s="2472"/>
      <c r="W195" s="1478"/>
      <c r="X195" s="2196"/>
      <c r="Y195" s="2196"/>
      <c r="Z195" s="1481"/>
      <c r="AA195" s="2125"/>
      <c r="AB195" s="2446"/>
      <c r="AC195" s="1482"/>
      <c r="AD195" s="2129"/>
      <c r="AE195" s="2129"/>
      <c r="AF195" s="1483"/>
      <c r="AG195" s="1484"/>
      <c r="AH195" s="2465" t="s">
        <v>1167</v>
      </c>
      <c r="AI195" s="2466"/>
    </row>
    <row r="196" spans="1:63" s="1831" customFormat="1" ht="15" customHeight="1">
      <c r="D196" s="2470"/>
      <c r="E196" s="2218"/>
      <c r="F196" s="2218"/>
      <c r="G196" s="2196"/>
      <c r="H196" s="1481"/>
      <c r="I196" s="2474"/>
      <c r="J196" s="2192"/>
      <c r="K196" s="1480"/>
      <c r="L196" s="2196"/>
      <c r="M196" s="2196"/>
      <c r="N196" s="1481"/>
      <c r="O196" s="2125"/>
      <c r="P196" s="2464"/>
      <c r="Q196" s="1477"/>
      <c r="R196" s="2196"/>
      <c r="S196" s="2196"/>
      <c r="T196" s="1764"/>
      <c r="U196" s="2125"/>
      <c r="V196" s="2472"/>
      <c r="W196" s="1478"/>
      <c r="X196" s="2196"/>
      <c r="Y196" s="2196"/>
      <c r="Z196" s="1520"/>
      <c r="AA196" s="1486"/>
      <c r="AB196" s="2467" t="s">
        <v>1168</v>
      </c>
      <c r="AC196" s="2467"/>
      <c r="AD196" s="2467"/>
      <c r="AE196" s="2467"/>
      <c r="AF196" s="2467"/>
      <c r="AG196" s="2467"/>
      <c r="AH196" s="2467"/>
      <c r="AI196" s="2468"/>
    </row>
    <row r="197" spans="1:63" s="1831" customFormat="1" ht="15" customHeight="1">
      <c r="D197" s="2470"/>
      <c r="E197" s="2218"/>
      <c r="F197" s="2218"/>
      <c r="G197" s="2196"/>
      <c r="H197" s="1481"/>
      <c r="I197" s="2474"/>
      <c r="J197" s="2192"/>
      <c r="K197" s="1480"/>
      <c r="L197" s="2196"/>
      <c r="M197" s="2196"/>
      <c r="N197" s="1481"/>
      <c r="O197" s="2125"/>
      <c r="P197" s="2469"/>
      <c r="Q197" s="1477"/>
      <c r="R197" s="2196"/>
      <c r="S197" s="2196"/>
      <c r="T197" s="1765"/>
      <c r="U197" s="1521"/>
      <c r="V197" s="2465" t="s">
        <v>102</v>
      </c>
      <c r="W197" s="2465"/>
      <c r="X197" s="2465"/>
      <c r="Y197" s="2465"/>
      <c r="Z197" s="2465"/>
      <c r="AA197" s="2465"/>
      <c r="AB197" s="2465"/>
      <c r="AC197" s="2465"/>
      <c r="AD197" s="2465"/>
      <c r="AE197" s="2465"/>
      <c r="AF197" s="2465"/>
      <c r="AG197" s="2465"/>
      <c r="AH197" s="2465"/>
      <c r="AI197" s="2466"/>
    </row>
    <row r="198" spans="1:63" s="1831" customFormat="1" ht="11.25" customHeight="1">
      <c r="D198" s="2470"/>
      <c r="E198" s="2218"/>
      <c r="F198" s="2218"/>
      <c r="G198" s="2196"/>
      <c r="H198" s="1485"/>
      <c r="I198" s="2474"/>
      <c r="J198" s="2475"/>
      <c r="K198" s="1480"/>
      <c r="L198" s="2196"/>
      <c r="M198" s="2196"/>
      <c r="N198" s="1485"/>
      <c r="O198" s="1486"/>
      <c r="P198" s="2465" t="s">
        <v>1169</v>
      </c>
      <c r="Q198" s="2465"/>
      <c r="R198" s="2465"/>
      <c r="S198" s="2465"/>
      <c r="T198" s="2465"/>
      <c r="U198" s="2465"/>
      <c r="V198" s="2465"/>
      <c r="W198" s="2465"/>
      <c r="X198" s="2465"/>
      <c r="Y198" s="2465"/>
      <c r="Z198" s="2465"/>
      <c r="AA198" s="2465"/>
      <c r="AB198" s="2465"/>
      <c r="AC198" s="2465"/>
      <c r="AD198" s="2465"/>
      <c r="AE198" s="2465"/>
      <c r="AF198" s="2465"/>
      <c r="AG198" s="2465"/>
      <c r="AH198" s="2465"/>
      <c r="AI198" s="2466"/>
    </row>
    <row r="199" spans="1:63" s="1902" customFormat="1" ht="11.25" customHeight="1">
      <c r="D199" s="2470"/>
      <c r="E199" s="2218"/>
      <c r="F199" s="2218"/>
      <c r="G199" s="2129"/>
      <c r="H199" s="1487"/>
      <c r="I199" s="1488"/>
      <c r="J199" s="2465" t="s">
        <v>217</v>
      </c>
      <c r="K199" s="2465"/>
      <c r="L199" s="2465"/>
      <c r="M199" s="2465"/>
      <c r="N199" s="2465"/>
      <c r="O199" s="2465"/>
      <c r="P199" s="2465"/>
      <c r="Q199" s="2465"/>
      <c r="R199" s="2465"/>
      <c r="S199" s="2465"/>
      <c r="T199" s="2465"/>
      <c r="U199" s="2465"/>
      <c r="V199" s="2465"/>
      <c r="W199" s="2465"/>
      <c r="X199" s="2465"/>
      <c r="Y199" s="2465"/>
      <c r="Z199" s="2465"/>
      <c r="AA199" s="2465"/>
      <c r="AB199" s="2465"/>
      <c r="AC199" s="2465"/>
      <c r="AD199" s="2465"/>
      <c r="AE199" s="2465"/>
      <c r="AF199" s="2465"/>
      <c r="AG199" s="2465"/>
      <c r="AH199" s="2465"/>
      <c r="AI199" s="2466"/>
      <c r="BK199" s="1491"/>
    </row>
    <row r="200" spans="1:63" ht="17.25" customHeight="1">
      <c r="G200" s="1747"/>
      <c r="I200" s="1747"/>
      <c r="J200" s="1747"/>
      <c r="N200" s="1743"/>
    </row>
    <row r="201" spans="1:63" s="1831" customFormat="1" ht="15" customHeight="1">
      <c r="D201" s="2470"/>
      <c r="E201" s="2218"/>
      <c r="F201" s="2218"/>
      <c r="G201" s="2203"/>
      <c r="H201" s="1516"/>
      <c r="I201" s="2205"/>
      <c r="J201" s="2168"/>
      <c r="K201" s="1695"/>
      <c r="L201" s="2151"/>
      <c r="M201" s="2151"/>
      <c r="N201" s="1501"/>
      <c r="O201" s="2151"/>
      <c r="P201" s="2168"/>
      <c r="Q201" s="1699"/>
      <c r="R201" s="2151"/>
      <c r="S201" s="2151"/>
      <c r="T201" s="1766"/>
      <c r="U201" s="2151"/>
      <c r="V201" s="2168"/>
      <c r="W201" s="1504"/>
      <c r="X201" s="2151"/>
      <c r="Y201" s="2151"/>
      <c r="Z201" s="1501"/>
      <c r="AA201" s="2151"/>
      <c r="AB201" s="2168"/>
      <c r="AC201" s="1505"/>
      <c r="AD201" s="2151"/>
      <c r="AE201" s="2151"/>
      <c r="AF201" s="1693"/>
      <c r="AG201" s="1693"/>
      <c r="AH201" s="1506"/>
      <c r="AI201" s="1215"/>
    </row>
    <row r="202" spans="1:63" s="1831" customFormat="1" ht="15" customHeight="1">
      <c r="D202" s="2470"/>
      <c r="E202" s="2218"/>
      <c r="F202" s="2218"/>
      <c r="G202" s="2203"/>
      <c r="H202" s="1517"/>
      <c r="I202" s="2206"/>
      <c r="J202" s="2169"/>
      <c r="K202" s="1525"/>
      <c r="L202" s="2152"/>
      <c r="M202" s="2152"/>
      <c r="N202" s="1507"/>
      <c r="O202" s="2152"/>
      <c r="P202" s="2169"/>
      <c r="Q202" s="1700"/>
      <c r="R202" s="2152"/>
      <c r="S202" s="2152"/>
      <c r="T202" s="1767"/>
      <c r="U202" s="2152"/>
      <c r="V202" s="2169"/>
      <c r="W202" s="1510"/>
      <c r="X202" s="2152"/>
      <c r="Y202" s="2152"/>
      <c r="Z202" s="1507"/>
      <c r="AA202" s="2152"/>
      <c r="AB202" s="2169"/>
      <c r="AC202" s="1511"/>
      <c r="AD202" s="2152"/>
      <c r="AE202" s="2152"/>
      <c r="AF202" s="1698"/>
      <c r="AG202" s="1698"/>
      <c r="AH202" s="2201"/>
      <c r="AI202" s="2202"/>
    </row>
    <row r="203" spans="1:63" s="1831" customFormat="1" ht="15" customHeight="1">
      <c r="D203" s="2470"/>
      <c r="E203" s="2218"/>
      <c r="F203" s="2218"/>
      <c r="G203" s="2203"/>
      <c r="H203" s="1517"/>
      <c r="I203" s="2206"/>
      <c r="J203" s="2169"/>
      <c r="K203" s="1525"/>
      <c r="L203" s="2152"/>
      <c r="M203" s="2152"/>
      <c r="N203" s="1507"/>
      <c r="O203" s="2152"/>
      <c r="P203" s="2169"/>
      <c r="Q203" s="1700"/>
      <c r="R203" s="2152"/>
      <c r="S203" s="2152"/>
      <c r="T203" s="1767"/>
      <c r="U203" s="2152"/>
      <c r="V203" s="2169"/>
      <c r="W203" s="1510"/>
      <c r="X203" s="2152"/>
      <c r="Y203" s="2152"/>
      <c r="Z203" s="1696"/>
      <c r="AA203" s="1698"/>
      <c r="AB203" s="2201"/>
      <c r="AC203" s="2201"/>
      <c r="AD203" s="2201"/>
      <c r="AE203" s="2201"/>
      <c r="AF203" s="2201"/>
      <c r="AG203" s="2201"/>
      <c r="AH203" s="2201"/>
      <c r="AI203" s="2202"/>
    </row>
    <row r="204" spans="1:63" s="1831" customFormat="1" ht="15" customHeight="1">
      <c r="D204" s="2470"/>
      <c r="E204" s="2218"/>
      <c r="F204" s="2218"/>
      <c r="G204" s="2203"/>
      <c r="H204" s="1517"/>
      <c r="I204" s="2206"/>
      <c r="J204" s="2169"/>
      <c r="K204" s="1525"/>
      <c r="L204" s="2152"/>
      <c r="M204" s="2152"/>
      <c r="N204" s="1507"/>
      <c r="O204" s="2152"/>
      <c r="P204" s="2169"/>
      <c r="Q204" s="1700"/>
      <c r="R204" s="2152"/>
      <c r="S204" s="2152"/>
      <c r="T204" s="1768"/>
      <c r="U204" s="1514"/>
      <c r="V204" s="2201"/>
      <c r="W204" s="2201"/>
      <c r="X204" s="2201"/>
      <c r="Y204" s="2201"/>
      <c r="Z204" s="2201"/>
      <c r="AA204" s="2201"/>
      <c r="AB204" s="2201"/>
      <c r="AC204" s="2201"/>
      <c r="AD204" s="2201"/>
      <c r="AE204" s="2201"/>
      <c r="AF204" s="2201"/>
      <c r="AG204" s="2201"/>
      <c r="AH204" s="2201"/>
      <c r="AI204" s="2202"/>
    </row>
    <row r="205" spans="1:63" s="1831" customFormat="1" ht="11.25" customHeight="1">
      <c r="D205" s="2470"/>
      <c r="E205" s="2218"/>
      <c r="F205" s="2218"/>
      <c r="G205" s="2203"/>
      <c r="H205" s="1518"/>
      <c r="I205" s="2206"/>
      <c r="J205" s="2169"/>
      <c r="K205" s="1525"/>
      <c r="L205" s="2152"/>
      <c r="M205" s="2152"/>
      <c r="N205" s="1698"/>
      <c r="O205" s="1698"/>
      <c r="P205" s="2201"/>
      <c r="Q205" s="2201"/>
      <c r="R205" s="2201"/>
      <c r="S205" s="2201"/>
      <c r="T205" s="2201"/>
      <c r="U205" s="2201"/>
      <c r="V205" s="2201"/>
      <c r="W205" s="2201"/>
      <c r="X205" s="2201"/>
      <c r="Y205" s="2201"/>
      <c r="Z205" s="2201"/>
      <c r="AA205" s="2201"/>
      <c r="AB205" s="2201"/>
      <c r="AC205" s="2201"/>
      <c r="AD205" s="2201"/>
      <c r="AE205" s="2201"/>
      <c r="AF205" s="2201"/>
      <c r="AG205" s="2201"/>
      <c r="AH205" s="2201"/>
      <c r="AI205" s="2202"/>
    </row>
    <row r="206" spans="1:63" s="1902" customFormat="1" ht="11.25" customHeight="1">
      <c r="D206" s="2470"/>
      <c r="E206" s="2218"/>
      <c r="F206" s="2218"/>
      <c r="G206" s="2208"/>
      <c r="H206" s="1515"/>
      <c r="I206" s="1519"/>
      <c r="J206" s="2209"/>
      <c r="K206" s="2209"/>
      <c r="L206" s="2209"/>
      <c r="M206" s="2209"/>
      <c r="N206" s="2209"/>
      <c r="O206" s="2209"/>
      <c r="P206" s="2209"/>
      <c r="Q206" s="2209"/>
      <c r="R206" s="2209"/>
      <c r="S206" s="2209"/>
      <c r="T206" s="2209"/>
      <c r="U206" s="2209"/>
      <c r="V206" s="2209"/>
      <c r="W206" s="2209"/>
      <c r="X206" s="2209"/>
      <c r="Y206" s="2209"/>
      <c r="Z206" s="2209"/>
      <c r="AA206" s="2209"/>
      <c r="AB206" s="2209"/>
      <c r="AC206" s="2209"/>
      <c r="AD206" s="2209"/>
      <c r="AE206" s="2209"/>
      <c r="AF206" s="2209"/>
      <c r="AG206" s="2209"/>
      <c r="AH206" s="2209"/>
      <c r="AI206" s="2210"/>
      <c r="BK206" s="1491"/>
    </row>
    <row r="207" spans="1:63" ht="17.25" customHeight="1">
      <c r="A207" s="1759"/>
    </row>
  </sheetData>
  <sheetProtection formatColumns="0" formatRows="0" insertRows="0" deleteColumns="0" deleteRows="0" sort="0" autoFilter="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xr:uid="{00000000-0002-0000-3500-000000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xr:uid="{00000000-0002-0000-3500-000001000000}"/>
    <dataValidation type="list" allowBlank="1" showInputMessage="1" showErrorMessage="1" errorTitle="Ошибка" error="Выберите значение из списка" prompt="Выберите значение из списка" sqref="H102" xr:uid="{00000000-0002-0000-3500-000002000000}">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xr:uid="{00000000-0002-0000-3500-000003000000}">
      <formula1>kind_of_purchase_method</formula1>
    </dataValidation>
    <dataValidation allowBlank="1" showInputMessage="1" showErrorMessage="1" promptTitle="Ввод" prompt="Для выбора ИП необходимо два раза нажать левую кнопку мыши!" sqref="G64 G69" xr:uid="{00000000-0002-0000-3500-000004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xr:uid="{00000000-0002-0000-3500-000005000000}"/>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xr:uid="{00000000-0002-0000-3500-000006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xr:uid="{00000000-0002-0000-3500-000007000000}">
      <formula1>kind_of_power_te_unit</formula1>
    </dataValidation>
    <dataValidation allowBlank="1" showInputMessage="1" showErrorMessage="1" prompt="Изменение значения по двойному щелчоку левой кнопки мыши" sqref="J48" xr:uid="{00000000-0002-0000-3500-000008000000}"/>
    <dataValidation type="list" allowBlank="1" showInputMessage="1" showErrorMessage="1" sqref="I34" xr:uid="{00000000-0002-0000-3500-000009000000}">
      <formula1>DESCRIPTION_TERRITORY</formula1>
    </dataValidation>
    <dataValidation type="textLength" operator="lessThan" allowBlank="1" showInputMessage="1" showErrorMessage="1" error="Допускается ввод не более 900 символов!" sqref="M29 M23" xr:uid="{00000000-0002-0000-3500-00000A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xr:uid="{00000000-0002-0000-3500-00000B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xr:uid="{00000000-0002-0000-3500-00000C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xr:uid="{00000000-0002-0000-3500-00000D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xr:uid="{00000000-0002-0000-3500-00000E000000}"/>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xr:uid="{00000000-0002-0000-3500-00000F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xr:uid="{00000000-0002-0000-3500-000010000000}"/>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xr:uid="{00000000-0002-0000-3500-000011000000}"/>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xr:uid="{00000000-0002-0000-3500-000012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682F8-615A-2183-7122-1AE943BF2EAE}">
  <sheetPr>
    <tabColor rgb="FFFFCC99"/>
  </sheetPr>
  <dimension ref="A1:CD118"/>
  <sheetViews>
    <sheetView showGridLines="0" workbookViewId="0"/>
  </sheetViews>
  <sheetFormatPr defaultColWidth="9.140625" defaultRowHeight="11.25" customHeight="1"/>
  <cols>
    <col min="1" max="1" width="32.5703125" style="2078" customWidth="1"/>
    <col min="2" max="2" width="11" style="2079" customWidth="1"/>
    <col min="3" max="3" width="9.140625" style="2079"/>
    <col min="4" max="4" width="26.5703125" style="2079" customWidth="1"/>
    <col min="5" max="5" width="27.7109375" style="2076" customWidth="1"/>
    <col min="6" max="6" width="23.5703125" style="2076" customWidth="1"/>
    <col min="7" max="7" width="31.42578125" style="2076" customWidth="1"/>
    <col min="8" max="8" width="40.85546875" style="2076" customWidth="1"/>
    <col min="9" max="9" width="14.5703125" style="2076" customWidth="1"/>
    <col min="10" max="10" width="26.85546875" style="2076" customWidth="1"/>
    <col min="11" max="11" width="50" style="2076" customWidth="1"/>
    <col min="12" max="12" width="52.42578125" style="2076" customWidth="1"/>
    <col min="13" max="13" width="10.7109375" style="2076" customWidth="1"/>
    <col min="14" max="14" width="55.140625" style="2076" customWidth="1"/>
    <col min="15" max="15" width="31.85546875" style="2076" customWidth="1"/>
    <col min="16" max="16" width="23.85546875" style="2076" customWidth="1"/>
    <col min="17" max="17" width="46.5703125" style="2076" customWidth="1"/>
    <col min="18" max="18" width="24" style="2076" customWidth="1"/>
    <col min="19" max="19" width="20.5703125" style="2076" customWidth="1"/>
    <col min="20" max="20" width="22" style="2076" customWidth="1"/>
    <col min="21" max="22" width="26.42578125" style="2076" customWidth="1"/>
    <col min="23" max="23" width="8.28515625" style="2076" hidden="1" customWidth="1"/>
    <col min="24" max="24" width="59.7109375" style="2076" customWidth="1"/>
    <col min="25" max="25" width="49.140625" style="2076" customWidth="1"/>
    <col min="26" max="26" width="11.140625" style="2076" customWidth="1"/>
    <col min="27" max="30" width="29" style="2076" customWidth="1"/>
    <col min="31" max="31" width="9.140625" style="2076"/>
    <col min="32" max="32" width="34.7109375" style="2076" customWidth="1"/>
    <col min="33" max="33" width="9.140625" style="2076"/>
    <col min="34" max="35" width="34.42578125" style="2076" customWidth="1"/>
    <col min="36" max="36" width="9.140625" style="2076"/>
    <col min="37" max="37" width="24.5703125" style="2076" customWidth="1"/>
    <col min="38" max="38" width="9.140625" style="2076"/>
    <col min="39" max="39" width="26.140625" style="2076" customWidth="1"/>
    <col min="40" max="40" width="1.7109375" style="2076" customWidth="1"/>
    <col min="41" max="41" width="9.140625" style="2076"/>
    <col min="42" max="43" width="47.85546875" style="2076" customWidth="1"/>
    <col min="44" max="44" width="1.7109375" style="2076" customWidth="1"/>
    <col min="45" max="45" width="21.42578125" style="2076" customWidth="1"/>
    <col min="46" max="46" width="1.7109375" style="2076" customWidth="1"/>
    <col min="47" max="47" width="31.28515625" style="2076" customWidth="1"/>
    <col min="48" max="48" width="1.7109375" style="2076" customWidth="1"/>
    <col min="49" max="50" width="9.140625" style="2080"/>
    <col min="51" max="51" width="3.7109375" style="2076" customWidth="1"/>
    <col min="52" max="52" width="55" style="2076" customWidth="1"/>
    <col min="53" max="53" width="9.140625" style="2076"/>
    <col min="54" max="54" width="35.140625" style="2076" customWidth="1"/>
    <col min="55" max="55" width="9.140625" style="2076"/>
    <col min="56" max="56" width="1.7109375" style="2076" customWidth="1"/>
    <col min="57" max="57" width="12.5703125" style="2081" customWidth="1"/>
    <col min="58" max="58" width="14.28515625" style="2081" customWidth="1"/>
    <col min="59" max="59" width="30.7109375" style="2076" customWidth="1"/>
    <col min="60" max="60" width="40.7109375" style="2075" customWidth="1"/>
    <col min="61" max="61" width="15" style="2075" customWidth="1"/>
    <col min="62" max="62" width="40.7109375" style="2075" customWidth="1"/>
    <col min="63" max="63" width="2.7109375" style="2075" customWidth="1"/>
    <col min="64" max="64" width="44.7109375" style="2075" customWidth="1"/>
    <col min="65" max="65" width="2.7109375" style="2075" customWidth="1"/>
    <col min="66" max="66" width="40.7109375" style="2075" customWidth="1"/>
    <col min="67" max="68" width="9.140625" style="2076"/>
    <col min="69" max="69" width="18.140625" style="2076" customWidth="1"/>
    <col min="70" max="70" width="57.85546875" style="2076" customWidth="1"/>
    <col min="71" max="71" width="1.7109375" style="2077" customWidth="1"/>
    <col min="72" max="72" width="22.5703125" style="2076" customWidth="1"/>
    <col min="73" max="73" width="57.85546875" style="2076" customWidth="1"/>
    <col min="74" max="74" width="1.7109375" style="2076" customWidth="1"/>
    <col min="75" max="75" width="22.5703125" style="2076" customWidth="1"/>
    <col min="76" max="76" width="57.85546875" style="2076" customWidth="1"/>
    <col min="77" max="77" width="1.7109375" style="2076" customWidth="1"/>
    <col min="78" max="78" width="22.5703125" style="2076" customWidth="1"/>
    <col min="79" max="79" width="57.85546875" style="2076" customWidth="1"/>
    <col min="80" max="81" width="9.140625" style="2076"/>
    <col min="82" max="82" width="49.5703125" style="2076" customWidth="1"/>
  </cols>
  <sheetData>
    <row r="1" spans="1:79" s="2074" customFormat="1" ht="11.25" customHeight="1">
      <c r="A1" s="972" t="s">
        <v>1170</v>
      </c>
      <c r="B1" s="972" t="s">
        <v>1171</v>
      </c>
      <c r="C1" s="972" t="s">
        <v>1172</v>
      </c>
      <c r="D1" s="972" t="s">
        <v>1173</v>
      </c>
      <c r="E1" s="972" t="s">
        <v>1174</v>
      </c>
      <c r="F1" s="972" t="s">
        <v>1175</v>
      </c>
      <c r="G1" s="972" t="s">
        <v>1176</v>
      </c>
      <c r="H1" s="972" t="s">
        <v>1177</v>
      </c>
      <c r="I1" s="972" t="s">
        <v>1178</v>
      </c>
      <c r="J1" s="972" t="s">
        <v>1179</v>
      </c>
      <c r="K1" s="972" t="s">
        <v>1180</v>
      </c>
      <c r="L1" s="972" t="s">
        <v>1181</v>
      </c>
      <c r="M1" s="972"/>
      <c r="N1" s="972" t="s">
        <v>1182</v>
      </c>
      <c r="O1" s="972" t="s">
        <v>1183</v>
      </c>
      <c r="P1" s="972" t="s">
        <v>1184</v>
      </c>
      <c r="Q1" s="972" t="s">
        <v>1185</v>
      </c>
      <c r="R1" s="972" t="s">
        <v>1186</v>
      </c>
      <c r="S1" s="972" t="s">
        <v>1187</v>
      </c>
      <c r="T1" s="972" t="s">
        <v>1188</v>
      </c>
      <c r="U1" s="972" t="s">
        <v>1189</v>
      </c>
      <c r="V1" s="972"/>
      <c r="W1" s="714" t="s">
        <v>1190</v>
      </c>
      <c r="X1" s="972" t="s">
        <v>1191</v>
      </c>
      <c r="Y1" s="972" t="s">
        <v>1192</v>
      </c>
      <c r="Z1" s="972"/>
      <c r="AA1" s="972" t="s">
        <v>1193</v>
      </c>
      <c r="AB1" s="972"/>
      <c r="AC1" s="972" t="s">
        <v>1194</v>
      </c>
      <c r="AD1" s="972"/>
      <c r="AF1" s="972" t="s">
        <v>1195</v>
      </c>
      <c r="AH1" s="972" t="s">
        <v>1196</v>
      </c>
      <c r="AI1" s="972" t="s">
        <v>1197</v>
      </c>
      <c r="AK1" s="972" t="s">
        <v>1198</v>
      </c>
      <c r="AM1" s="972" t="s">
        <v>1199</v>
      </c>
      <c r="AP1" s="972" t="s">
        <v>1200</v>
      </c>
      <c r="AQ1" s="972" t="s">
        <v>1201</v>
      </c>
      <c r="AS1" s="972" t="s">
        <v>1202</v>
      </c>
      <c r="AU1" s="972" t="s">
        <v>1203</v>
      </c>
      <c r="AW1" s="972" t="s">
        <v>1204</v>
      </c>
      <c r="AX1" s="972" t="s">
        <v>1205</v>
      </c>
      <c r="AZ1" s="1052" t="s">
        <v>1206</v>
      </c>
      <c r="BB1" s="972" t="s">
        <v>1207</v>
      </c>
      <c r="BC1" s="972"/>
      <c r="BE1" s="972" t="s">
        <v>1208</v>
      </c>
      <c r="BF1" s="972" t="s">
        <v>1209</v>
      </c>
      <c r="BH1" s="974" t="s">
        <v>706</v>
      </c>
      <c r="BI1" s="975"/>
      <c r="BJ1" s="976" t="s">
        <v>1210</v>
      </c>
      <c r="BK1" s="975"/>
      <c r="BL1" s="977" t="s">
        <v>804</v>
      </c>
      <c r="BM1" s="975"/>
      <c r="BN1" s="978" t="s">
        <v>1211</v>
      </c>
      <c r="BS1" s="1342"/>
    </row>
    <row r="2" spans="1:79" ht="11.25" customHeight="1">
      <c r="A2" s="979" t="s">
        <v>1212</v>
      </c>
      <c r="B2" s="980">
        <v>2000</v>
      </c>
      <c r="C2" s="980">
        <v>2022</v>
      </c>
      <c r="D2" s="980" t="s">
        <v>61</v>
      </c>
      <c r="E2" s="981" t="s">
        <v>1213</v>
      </c>
      <c r="F2" s="981" t="s">
        <v>1214</v>
      </c>
      <c r="G2" s="981" t="s">
        <v>1215</v>
      </c>
      <c r="H2" s="982" t="s">
        <v>54</v>
      </c>
      <c r="I2" s="981" t="s">
        <v>108</v>
      </c>
      <c r="J2" s="981" t="s">
        <v>1216</v>
      </c>
      <c r="K2" s="983" t="s">
        <v>1217</v>
      </c>
      <c r="L2" s="984"/>
      <c r="M2" s="983">
        <v>1</v>
      </c>
      <c r="N2" s="1062" t="s">
        <v>1218</v>
      </c>
      <c r="O2" s="982" t="s">
        <v>1219</v>
      </c>
      <c r="P2" s="985" t="s">
        <v>1220</v>
      </c>
      <c r="Q2" s="986" t="s">
        <v>1221</v>
      </c>
      <c r="R2" s="68" t="s">
        <v>1222</v>
      </c>
      <c r="S2" s="68" t="s">
        <v>1223</v>
      </c>
      <c r="T2" s="987" t="s">
        <v>1224</v>
      </c>
      <c r="U2" s="984" t="s">
        <v>1225</v>
      </c>
      <c r="V2" s="988">
        <v>1</v>
      </c>
      <c r="W2" s="989"/>
      <c r="X2" s="989" t="s">
        <v>1226</v>
      </c>
      <c r="Y2" s="980" t="s">
        <v>1227</v>
      </c>
      <c r="Z2" s="990"/>
      <c r="AA2" s="980" t="s">
        <v>1228</v>
      </c>
      <c r="AB2" s="991" t="s">
        <v>1228</v>
      </c>
      <c r="AC2" s="980" t="s">
        <v>1229</v>
      </c>
      <c r="AD2" s="991" t="s">
        <v>1229</v>
      </c>
      <c r="AF2" s="982" t="s">
        <v>1225</v>
      </c>
      <c r="AH2" s="981" t="s">
        <v>1230</v>
      </c>
      <c r="AI2" s="981" t="s">
        <v>1230</v>
      </c>
      <c r="AK2" s="981" t="s">
        <v>1231</v>
      </c>
      <c r="AM2" s="981" t="s">
        <v>1232</v>
      </c>
      <c r="AP2" s="992" t="s">
        <v>1226</v>
      </c>
      <c r="AQ2" s="993" t="s">
        <v>1226</v>
      </c>
      <c r="AS2" s="980" t="s">
        <v>1233</v>
      </c>
      <c r="AU2" s="1023" t="s">
        <v>1234</v>
      </c>
      <c r="AW2" s="1023" t="s">
        <v>1235</v>
      </c>
      <c r="AX2" s="1023" t="s">
        <v>1235</v>
      </c>
      <c r="AZ2" s="1023" t="s">
        <v>1236</v>
      </c>
      <c r="BB2" s="1023" t="s">
        <v>1237</v>
      </c>
      <c r="BC2" s="1023" t="s">
        <v>1238</v>
      </c>
      <c r="BE2" s="1023">
        <v>2000</v>
      </c>
      <c r="BF2" s="1023" t="s">
        <v>1239</v>
      </c>
    </row>
    <row r="3" spans="1:79" ht="11.25" customHeight="1">
      <c r="A3" s="979" t="s">
        <v>1240</v>
      </c>
      <c r="B3" s="980">
        <v>2001</v>
      </c>
      <c r="C3" s="980">
        <v>2023</v>
      </c>
      <c r="D3" s="980" t="s">
        <v>56</v>
      </c>
      <c r="E3" s="981" t="s">
        <v>1241</v>
      </c>
      <c r="F3" s="981" t="s">
        <v>1242</v>
      </c>
      <c r="G3" s="981" t="s">
        <v>1243</v>
      </c>
      <c r="H3" s="982" t="s">
        <v>1244</v>
      </c>
      <c r="I3" s="981" t="s">
        <v>109</v>
      </c>
      <c r="J3" s="981" t="s">
        <v>540</v>
      </c>
      <c r="K3" s="983" t="s">
        <v>1245</v>
      </c>
      <c r="L3" s="984">
        <f>IFERROR(MATCH(K3,OFFER_METHOD,0),0)</f>
        <v>0</v>
      </c>
      <c r="M3" s="983">
        <v>2</v>
      </c>
      <c r="N3" s="1062" t="s">
        <v>1246</v>
      </c>
      <c r="O3" s="982" t="s">
        <v>1247</v>
      </c>
      <c r="P3" s="985" t="s">
        <v>33</v>
      </c>
      <c r="Q3" s="986" t="s">
        <v>1248</v>
      </c>
      <c r="R3" s="68" t="s">
        <v>1249</v>
      </c>
      <c r="S3" s="68" t="s">
        <v>1250</v>
      </c>
      <c r="T3" s="987" t="s">
        <v>1251</v>
      </c>
      <c r="U3" s="984" t="s">
        <v>1252</v>
      </c>
      <c r="V3" s="988">
        <v>2</v>
      </c>
      <c r="W3" s="989"/>
      <c r="X3" s="989" t="s">
        <v>1253</v>
      </c>
      <c r="Y3" s="980" t="s">
        <v>1227</v>
      </c>
      <c r="Z3" s="990"/>
      <c r="AA3" s="980" t="s">
        <v>1254</v>
      </c>
      <c r="AB3" s="991" t="s">
        <v>1254</v>
      </c>
      <c r="AC3" s="980" t="s">
        <v>1255</v>
      </c>
      <c r="AD3" s="991" t="s">
        <v>1255</v>
      </c>
      <c r="AF3" s="982" t="s">
        <v>1252</v>
      </c>
      <c r="AH3" s="981" t="s">
        <v>1256</v>
      </c>
      <c r="AI3" s="981" t="s">
        <v>1257</v>
      </c>
      <c r="AK3" s="981" t="s">
        <v>1258</v>
      </c>
      <c r="AM3" s="981" t="s">
        <v>1259</v>
      </c>
      <c r="AP3" s="992" t="s">
        <v>1260</v>
      </c>
      <c r="AQ3" s="993" t="s">
        <v>1260</v>
      </c>
      <c r="AS3" s="980" t="s">
        <v>1261</v>
      </c>
      <c r="AU3" s="1023" t="s">
        <v>1262</v>
      </c>
      <c r="AW3" s="1023" t="s">
        <v>1263</v>
      </c>
      <c r="AX3" s="1023" t="s">
        <v>1263</v>
      </c>
      <c r="AZ3" s="1023" t="s">
        <v>1264</v>
      </c>
      <c r="BB3" s="1023" t="s">
        <v>1265</v>
      </c>
      <c r="BC3" s="1023" t="s">
        <v>1238</v>
      </c>
      <c r="BE3" s="1023">
        <v>2001</v>
      </c>
      <c r="BF3" s="1023" t="s">
        <v>1266</v>
      </c>
      <c r="BH3" s="972" t="s">
        <v>1267</v>
      </c>
      <c r="BJ3" s="972" t="s">
        <v>1268</v>
      </c>
      <c r="BL3" s="972" t="s">
        <v>1269</v>
      </c>
      <c r="BN3" s="972" t="s">
        <v>1270</v>
      </c>
      <c r="BR3" s="972" t="s">
        <v>1271</v>
      </c>
      <c r="BS3" s="1343"/>
      <c r="BT3" s="975"/>
      <c r="BU3" s="972" t="s">
        <v>1272</v>
      </c>
      <c r="BV3" s="975"/>
      <c r="BW3" s="1601"/>
      <c r="BX3" s="1603" t="s">
        <v>1273</v>
      </c>
      <c r="CA3" s="972" t="s">
        <v>1274</v>
      </c>
    </row>
    <row r="4" spans="1:79" ht="11.25" customHeight="1">
      <c r="A4" s="979" t="s">
        <v>1275</v>
      </c>
      <c r="B4" s="980">
        <v>2002</v>
      </c>
      <c r="C4" s="980">
        <v>2024</v>
      </c>
      <c r="E4" s="981" t="s">
        <v>1276</v>
      </c>
      <c r="F4" s="981" t="s">
        <v>1277</v>
      </c>
      <c r="H4" s="982" t="s">
        <v>1278</v>
      </c>
      <c r="I4" s="981" t="s">
        <v>89</v>
      </c>
      <c r="J4" s="981" t="s">
        <v>1279</v>
      </c>
      <c r="K4" s="983" t="s">
        <v>1280</v>
      </c>
      <c r="L4" s="984">
        <f>IFERROR(MATCH(K4,OFFER_METHOD,0),0)</f>
        <v>0</v>
      </c>
      <c r="M4" s="983">
        <v>3</v>
      </c>
      <c r="N4" s="1062" t="s">
        <v>1281</v>
      </c>
      <c r="O4" s="981" t="s">
        <v>1282</v>
      </c>
      <c r="Q4" s="986" t="s">
        <v>1283</v>
      </c>
      <c r="R4" s="68" t="s">
        <v>1284</v>
      </c>
      <c r="S4" s="68" t="s">
        <v>1285</v>
      </c>
      <c r="T4" s="987" t="s">
        <v>1286</v>
      </c>
      <c r="U4" s="984" t="s">
        <v>1287</v>
      </c>
      <c r="V4" s="988">
        <v>3</v>
      </c>
      <c r="W4" s="989"/>
      <c r="X4" s="989" t="s">
        <v>1288</v>
      </c>
      <c r="Y4" s="980" t="s">
        <v>1227</v>
      </c>
      <c r="Z4" s="995"/>
      <c r="AC4" s="980" t="s">
        <v>1289</v>
      </c>
      <c r="AD4" s="991" t="s">
        <v>1289</v>
      </c>
      <c r="AF4" s="982" t="s">
        <v>1287</v>
      </c>
      <c r="AH4" s="982" t="s">
        <v>1290</v>
      </c>
      <c r="AK4" s="981" t="s">
        <v>1291</v>
      </c>
      <c r="AM4" s="981" t="s">
        <v>1292</v>
      </c>
      <c r="AP4" s="992" t="s">
        <v>1253</v>
      </c>
      <c r="AQ4" s="993" t="s">
        <v>1253</v>
      </c>
      <c r="AS4" s="980" t="s">
        <v>1293</v>
      </c>
      <c r="AU4" s="1023" t="s">
        <v>1294</v>
      </c>
      <c r="AW4" s="1023" t="s">
        <v>1295</v>
      </c>
      <c r="AX4" s="1023" t="s">
        <v>1295</v>
      </c>
      <c r="AZ4" s="1023" t="s">
        <v>1296</v>
      </c>
      <c r="BB4" s="1023" t="s">
        <v>1297</v>
      </c>
      <c r="BC4" s="1023" t="s">
        <v>1298</v>
      </c>
      <c r="BE4" s="1023">
        <v>2002</v>
      </c>
      <c r="BF4" s="1023" t="s">
        <v>1299</v>
      </c>
      <c r="BH4" s="973" t="s">
        <v>1300</v>
      </c>
      <c r="BJ4" s="973" t="s">
        <v>1300</v>
      </c>
      <c r="BL4" s="973" t="s">
        <v>1300</v>
      </c>
      <c r="BN4" s="973" t="s">
        <v>1300</v>
      </c>
      <c r="BQ4" s="1347" t="s">
        <v>1301</v>
      </c>
      <c r="BR4" s="1059" t="s">
        <v>1302</v>
      </c>
      <c r="BS4" s="192"/>
      <c r="BT4" s="1347" t="s">
        <v>1303</v>
      </c>
      <c r="BU4" s="1059" t="s">
        <v>1304</v>
      </c>
      <c r="BV4" s="975"/>
      <c r="BW4" s="1608" t="s">
        <v>1305</v>
      </c>
      <c r="BX4" s="1602" t="s">
        <v>1306</v>
      </c>
      <c r="BZ4" s="1347" t="s">
        <v>1307</v>
      </c>
      <c r="CA4" s="1059" t="s">
        <v>1308</v>
      </c>
    </row>
    <row r="5" spans="1:79" ht="11.25" customHeight="1">
      <c r="A5" s="979" t="s">
        <v>1309</v>
      </c>
      <c r="B5" s="980">
        <v>2003</v>
      </c>
      <c r="C5" s="980">
        <v>2025</v>
      </c>
      <c r="E5" s="981" t="s">
        <v>1310</v>
      </c>
      <c r="F5" s="981" t="s">
        <v>1311</v>
      </c>
      <c r="H5" s="982" t="s">
        <v>1312</v>
      </c>
      <c r="I5" s="981" t="s">
        <v>90</v>
      </c>
      <c r="K5" s="983" t="s">
        <v>1313</v>
      </c>
      <c r="L5" s="984">
        <f>IFERROR(MATCH(K5,OFFER_METHOD,0),0)</f>
        <v>0</v>
      </c>
      <c r="M5" s="983">
        <v>4</v>
      </c>
      <c r="N5" s="996" t="s">
        <v>1314</v>
      </c>
      <c r="O5" s="981" t="s">
        <v>1315</v>
      </c>
      <c r="Q5" s="986" t="s">
        <v>1316</v>
      </c>
      <c r="R5" s="68" t="s">
        <v>486</v>
      </c>
      <c r="T5" s="982" t="s">
        <v>1317</v>
      </c>
      <c r="U5" s="984" t="s">
        <v>1318</v>
      </c>
      <c r="V5" s="988">
        <v>4</v>
      </c>
      <c r="W5" s="989"/>
      <c r="X5" s="989" t="s">
        <v>165</v>
      </c>
      <c r="Y5" s="980" t="s">
        <v>1319</v>
      </c>
      <c r="Z5" s="995">
        <v>1</v>
      </c>
      <c r="AF5" s="982" t="s">
        <v>1320</v>
      </c>
      <c r="AH5" s="981" t="s">
        <v>1321</v>
      </c>
      <c r="AK5" s="981" t="s">
        <v>1322</v>
      </c>
      <c r="AM5" s="981" t="s">
        <v>1323</v>
      </c>
      <c r="AP5" s="992" t="s">
        <v>165</v>
      </c>
      <c r="AQ5" s="993" t="s">
        <v>165</v>
      </c>
      <c r="AU5" s="1023" t="s">
        <v>1324</v>
      </c>
      <c r="AW5" s="1023" t="s">
        <v>1325</v>
      </c>
      <c r="AX5" s="1023" t="s">
        <v>1325</v>
      </c>
      <c r="AZ5" s="1023" t="s">
        <v>1326</v>
      </c>
      <c r="BB5" s="1023" t="s">
        <v>1327</v>
      </c>
      <c r="BC5" s="1023" t="s">
        <v>1328</v>
      </c>
      <c r="BE5" s="1023">
        <v>2003</v>
      </c>
      <c r="BF5" s="1023" t="s">
        <v>1329</v>
      </c>
      <c r="BH5" s="973" t="s">
        <v>1330</v>
      </c>
      <c r="BJ5" s="973" t="s">
        <v>1330</v>
      </c>
      <c r="BL5" s="973" t="s">
        <v>1330</v>
      </c>
      <c r="BN5" s="973" t="s">
        <v>1331</v>
      </c>
      <c r="BQ5" s="1201">
        <v>4213775</v>
      </c>
      <c r="BR5" s="973" t="s">
        <v>1226</v>
      </c>
      <c r="BS5" s="1344"/>
      <c r="BT5" s="1201">
        <v>64236871</v>
      </c>
      <c r="BU5" s="973" t="s">
        <v>218</v>
      </c>
      <c r="BV5" s="975"/>
      <c r="BW5" s="1606">
        <v>4213767</v>
      </c>
      <c r="BX5" s="1604" t="s">
        <v>1332</v>
      </c>
      <c r="BZ5" s="1201">
        <v>64237509</v>
      </c>
      <c r="CA5" s="1214" t="s">
        <v>1333</v>
      </c>
    </row>
    <row r="6" spans="1:79" ht="11.25" customHeight="1">
      <c r="A6" s="979" t="s">
        <v>1334</v>
      </c>
      <c r="B6" s="980">
        <v>2004</v>
      </c>
      <c r="C6" s="980">
        <v>2026</v>
      </c>
      <c r="E6" s="981" t="s">
        <v>1335</v>
      </c>
      <c r="F6" s="997"/>
      <c r="H6" s="982" t="s">
        <v>1336</v>
      </c>
      <c r="I6" s="981" t="s">
        <v>110</v>
      </c>
      <c r="J6" s="972" t="s">
        <v>1337</v>
      </c>
      <c r="L6" s="984">
        <f>SUM(kind_of_control_method_filter)</f>
        <v>0</v>
      </c>
      <c r="N6" s="996" t="s">
        <v>1338</v>
      </c>
      <c r="O6" s="981" t="s">
        <v>1339</v>
      </c>
      <c r="R6" s="68" t="s">
        <v>1221</v>
      </c>
      <c r="T6" s="982" t="s">
        <v>1340</v>
      </c>
      <c r="U6" s="984" t="s">
        <v>1320</v>
      </c>
      <c r="V6" s="988">
        <v>5</v>
      </c>
      <c r="W6" s="989"/>
      <c r="X6" s="980" t="s">
        <v>171</v>
      </c>
      <c r="Y6" s="980" t="s">
        <v>1341</v>
      </c>
      <c r="Z6" s="995"/>
      <c r="AA6" s="998"/>
      <c r="AH6" s="981" t="s">
        <v>1342</v>
      </c>
      <c r="AK6" s="981" t="s">
        <v>1343</v>
      </c>
      <c r="AM6" s="981" t="s">
        <v>1344</v>
      </c>
      <c r="AP6" s="992" t="s">
        <v>171</v>
      </c>
      <c r="AQ6" s="993" t="s">
        <v>171</v>
      </c>
      <c r="AU6" s="1023" t="s">
        <v>1345</v>
      </c>
      <c r="AW6" s="1023" t="s">
        <v>1346</v>
      </c>
      <c r="AX6" s="1023" t="s">
        <v>1346</v>
      </c>
      <c r="BB6" s="1023" t="s">
        <v>1347</v>
      </c>
      <c r="BC6" s="1023" t="s">
        <v>1328</v>
      </c>
      <c r="BE6" s="1023">
        <v>2004</v>
      </c>
      <c r="BF6" s="1023" t="s">
        <v>1348</v>
      </c>
      <c r="BH6" s="973" t="s">
        <v>1349</v>
      </c>
      <c r="BJ6" s="973" t="s">
        <v>1350</v>
      </c>
      <c r="BL6" s="973" t="s">
        <v>1350</v>
      </c>
      <c r="BN6" s="973" t="s">
        <v>1351</v>
      </c>
      <c r="BQ6" s="1201">
        <v>4213784</v>
      </c>
      <c r="BR6" s="1214" t="s">
        <v>1260</v>
      </c>
      <c r="BS6" s="1345"/>
      <c r="BT6" s="1201">
        <v>64236872</v>
      </c>
      <c r="BU6" s="973" t="s">
        <v>223</v>
      </c>
      <c r="BV6" s="975"/>
      <c r="BW6" s="1606">
        <v>4213768</v>
      </c>
      <c r="BX6" s="1604" t="s">
        <v>243</v>
      </c>
      <c r="BZ6" s="1201">
        <v>64237510</v>
      </c>
      <c r="CA6" s="973" t="s">
        <v>1352</v>
      </c>
    </row>
    <row r="7" spans="1:79" ht="11.25" customHeight="1">
      <c r="A7" s="979" t="s">
        <v>1353</v>
      </c>
      <c r="B7" s="980">
        <v>2005</v>
      </c>
      <c r="E7" s="981" t="s">
        <v>1354</v>
      </c>
      <c r="F7" s="997"/>
      <c r="H7" s="982" t="s">
        <v>1355</v>
      </c>
      <c r="I7" s="981" t="s">
        <v>91</v>
      </c>
      <c r="J7" s="981" t="s">
        <v>1356</v>
      </c>
      <c r="N7" s="1000" t="s">
        <v>1357</v>
      </c>
      <c r="O7" s="981" t="s">
        <v>1358</v>
      </c>
      <c r="U7" s="984" t="s">
        <v>56</v>
      </c>
      <c r="V7" s="298" t="s">
        <v>91</v>
      </c>
      <c r="W7" s="989"/>
      <c r="X7" s="980" t="s">
        <v>177</v>
      </c>
      <c r="Y7" s="980" t="s">
        <v>1319</v>
      </c>
      <c r="Z7" s="995"/>
      <c r="AA7" s="998"/>
      <c r="AH7" s="981" t="s">
        <v>1359</v>
      </c>
      <c r="AK7" s="981" t="s">
        <v>1360</v>
      </c>
      <c r="AM7" s="981" t="s">
        <v>1361</v>
      </c>
      <c r="AP7" s="992" t="s">
        <v>177</v>
      </c>
      <c r="AQ7" s="993" t="s">
        <v>177</v>
      </c>
      <c r="AU7" s="1023" t="s">
        <v>1362</v>
      </c>
      <c r="AW7" s="1023" t="s">
        <v>1363</v>
      </c>
      <c r="AX7" s="1023" t="s">
        <v>1363</v>
      </c>
      <c r="AZ7" s="972" t="s">
        <v>1364</v>
      </c>
      <c r="BB7" s="1023" t="s">
        <v>1365</v>
      </c>
      <c r="BC7" s="1023" t="s">
        <v>1328</v>
      </c>
      <c r="BE7" s="1023">
        <v>2005</v>
      </c>
      <c r="BF7" s="1023" t="s">
        <v>1366</v>
      </c>
      <c r="BH7" s="973" t="s">
        <v>1367</v>
      </c>
      <c r="BJ7" s="973" t="s">
        <v>1349</v>
      </c>
      <c r="BL7" s="973" t="s">
        <v>1349</v>
      </c>
      <c r="BN7" s="973" t="s">
        <v>1368</v>
      </c>
      <c r="BQ7" s="1201">
        <v>4213781</v>
      </c>
      <c r="BR7" s="973" t="s">
        <v>1253</v>
      </c>
      <c r="BS7" s="1344"/>
      <c r="BT7" s="1201">
        <v>64236873</v>
      </c>
      <c r="BU7" s="973" t="s">
        <v>228</v>
      </c>
      <c r="BV7" s="975"/>
      <c r="BW7" s="1606">
        <v>4213769</v>
      </c>
      <c r="BX7" s="1604" t="s">
        <v>1369</v>
      </c>
      <c r="BZ7" s="1201">
        <v>64237511</v>
      </c>
      <c r="CA7" s="973" t="s">
        <v>258</v>
      </c>
    </row>
    <row r="8" spans="1:79" ht="11.25" customHeight="1">
      <c r="A8" s="979" t="s">
        <v>1370</v>
      </c>
      <c r="B8" s="980">
        <v>2006</v>
      </c>
      <c r="E8" s="981" t="s">
        <v>1371</v>
      </c>
      <c r="F8" s="997"/>
      <c r="I8" s="981" t="s">
        <v>92</v>
      </c>
      <c r="J8" s="981" t="s">
        <v>1372</v>
      </c>
      <c r="N8" s="1063" t="s">
        <v>1373</v>
      </c>
      <c r="O8" s="981" t="s">
        <v>1374</v>
      </c>
      <c r="V8" s="298" t="s">
        <v>92</v>
      </c>
      <c r="W8" s="989"/>
      <c r="X8" s="980" t="s">
        <v>183</v>
      </c>
      <c r="Y8" s="980" t="s">
        <v>1319</v>
      </c>
      <c r="Z8" s="995"/>
      <c r="AA8" s="998"/>
      <c r="AK8" s="981" t="s">
        <v>1375</v>
      </c>
      <c r="AP8" s="992" t="s">
        <v>183</v>
      </c>
      <c r="AQ8" s="993" t="s">
        <v>183</v>
      </c>
      <c r="AU8" s="1023" t="s">
        <v>1376</v>
      </c>
      <c r="AW8" s="1023" t="s">
        <v>1377</v>
      </c>
      <c r="AX8" s="1023" t="s">
        <v>1377</v>
      </c>
      <c r="AZ8" s="1023" t="s">
        <v>1378</v>
      </c>
      <c r="BB8" s="1023" t="s">
        <v>1379</v>
      </c>
      <c r="BC8" s="1023" t="s">
        <v>1328</v>
      </c>
      <c r="BE8" s="1023">
        <v>2006</v>
      </c>
      <c r="BF8" s="1023" t="s">
        <v>1380</v>
      </c>
      <c r="BH8" s="973" t="s">
        <v>1381</v>
      </c>
      <c r="BJ8" s="973" t="s">
        <v>1382</v>
      </c>
      <c r="BL8" s="973" t="s">
        <v>1382</v>
      </c>
      <c r="BN8" s="973" t="s">
        <v>1383</v>
      </c>
      <c r="BQ8" s="1201">
        <v>4213776</v>
      </c>
      <c r="BR8" s="973" t="s">
        <v>165</v>
      </c>
      <c r="BS8" s="1344"/>
      <c r="BT8" s="1201">
        <v>64236874</v>
      </c>
      <c r="BU8" s="1214" t="s">
        <v>1384</v>
      </c>
      <c r="BV8" s="975"/>
      <c r="BW8" s="1606">
        <v>4213770</v>
      </c>
      <c r="BX8" s="1607" t="s">
        <v>1385</v>
      </c>
      <c r="BZ8" s="1201">
        <v>64237512</v>
      </c>
      <c r="CA8" s="973" t="s">
        <v>253</v>
      </c>
    </row>
    <row r="9" spans="1:79" ht="11.25" customHeight="1">
      <c r="A9" s="979" t="s">
        <v>1386</v>
      </c>
      <c r="B9" s="980">
        <v>2007</v>
      </c>
      <c r="E9" s="981" t="s">
        <v>1387</v>
      </c>
      <c r="F9" s="997"/>
      <c r="G9" s="972" t="s">
        <v>1388</v>
      </c>
      <c r="H9" s="972" t="s">
        <v>1389</v>
      </c>
      <c r="I9" s="981" t="s">
        <v>111</v>
      </c>
      <c r="O9" s="981" t="s">
        <v>1390</v>
      </c>
      <c r="V9" s="298" t="s">
        <v>111</v>
      </c>
      <c r="W9" s="989"/>
      <c r="X9" s="980" t="s">
        <v>189</v>
      </c>
      <c r="Y9" s="980" t="s">
        <v>1227</v>
      </c>
      <c r="Z9" s="995">
        <v>1</v>
      </c>
      <c r="AA9" s="998"/>
      <c r="AK9" s="981" t="s">
        <v>1391</v>
      </c>
      <c r="AP9" s="992" t="s">
        <v>1392</v>
      </c>
      <c r="AQ9" s="993" t="s">
        <v>1392</v>
      </c>
      <c r="AW9" s="1023" t="s">
        <v>1393</v>
      </c>
      <c r="AX9" s="1023" t="s">
        <v>1393</v>
      </c>
      <c r="AZ9" s="1023" t="s">
        <v>1394</v>
      </c>
      <c r="BB9" s="1023" t="s">
        <v>1395</v>
      </c>
      <c r="BC9" s="1023" t="s">
        <v>1328</v>
      </c>
      <c r="BE9" s="1023">
        <v>2007</v>
      </c>
      <c r="BF9" s="1023" t="s">
        <v>1396</v>
      </c>
      <c r="BH9" s="973" t="s">
        <v>1397</v>
      </c>
      <c r="BJ9" s="973" t="s">
        <v>1398</v>
      </c>
      <c r="BL9" s="973" t="s">
        <v>1398</v>
      </c>
      <c r="BN9" s="973" t="s">
        <v>1399</v>
      </c>
      <c r="BQ9" s="1201">
        <v>4213777</v>
      </c>
      <c r="BR9" s="973" t="s">
        <v>171</v>
      </c>
      <c r="BS9" s="1344"/>
      <c r="BT9" s="1201">
        <v>64236875</v>
      </c>
      <c r="BU9" s="973" t="s">
        <v>233</v>
      </c>
      <c r="BV9" s="975"/>
      <c r="BW9" s="1601"/>
      <c r="BX9" s="1601"/>
    </row>
    <row r="10" spans="1:79" ht="11.25" customHeight="1">
      <c r="A10" s="979" t="s">
        <v>1400</v>
      </c>
      <c r="B10" s="980">
        <v>2008</v>
      </c>
      <c r="E10" s="981" t="s">
        <v>1401</v>
      </c>
      <c r="F10" s="997"/>
      <c r="G10" s="981" t="s">
        <v>1402</v>
      </c>
      <c r="H10" s="981" t="s">
        <v>1403</v>
      </c>
      <c r="I10" s="981" t="s">
        <v>147</v>
      </c>
      <c r="J10" s="972" t="s">
        <v>1404</v>
      </c>
      <c r="K10" s="972" t="s">
        <v>1405</v>
      </c>
      <c r="O10" s="981" t="s">
        <v>1406</v>
      </c>
      <c r="V10" s="299" t="s">
        <v>147</v>
      </c>
      <c r="W10" s="1001"/>
      <c r="X10" s="1001" t="s">
        <v>1407</v>
      </c>
      <c r="Y10" s="1002" t="s">
        <v>1408</v>
      </c>
      <c r="Z10" s="995"/>
      <c r="AP10" s="992" t="s">
        <v>1407</v>
      </c>
      <c r="AQ10" s="993" t="s">
        <v>1407</v>
      </c>
      <c r="AW10" s="1023" t="s">
        <v>1409</v>
      </c>
      <c r="AX10" s="1023" t="s">
        <v>1409</v>
      </c>
      <c r="AZ10" s="1023" t="s">
        <v>1410</v>
      </c>
      <c r="BB10" s="1023" t="s">
        <v>1411</v>
      </c>
      <c r="BC10" s="1023" t="s">
        <v>1328</v>
      </c>
      <c r="BE10" s="1023">
        <v>2008</v>
      </c>
      <c r="BF10" s="1023" t="s">
        <v>1412</v>
      </c>
      <c r="BH10" s="973" t="s">
        <v>1413</v>
      </c>
      <c r="BJ10" s="973" t="s">
        <v>1414</v>
      </c>
      <c r="BL10" s="973" t="s">
        <v>1414</v>
      </c>
      <c r="BN10" s="973" t="s">
        <v>1415</v>
      </c>
      <c r="BQ10" s="1201">
        <v>4213778</v>
      </c>
      <c r="BR10" s="973" t="s">
        <v>177</v>
      </c>
      <c r="BS10" s="1344"/>
      <c r="BT10" s="1201">
        <v>64236876</v>
      </c>
      <c r="BU10" s="973" t="s">
        <v>209</v>
      </c>
      <c r="BV10" s="975"/>
      <c r="BW10" s="1601"/>
      <c r="BX10" s="1601"/>
    </row>
    <row r="11" spans="1:79" ht="11.25" customHeight="1">
      <c r="A11" s="979" t="s">
        <v>1416</v>
      </c>
      <c r="B11" s="980">
        <v>2009</v>
      </c>
      <c r="E11" s="981" t="s">
        <v>1417</v>
      </c>
      <c r="F11" s="997"/>
      <c r="G11" s="981" t="s">
        <v>1418</v>
      </c>
      <c r="H11" s="981" t="s">
        <v>1419</v>
      </c>
      <c r="I11" s="981" t="s">
        <v>148</v>
      </c>
      <c r="J11" s="982" t="s">
        <v>1420</v>
      </c>
      <c r="K11" s="1003" t="s">
        <v>1421</v>
      </c>
      <c r="O11" s="982" t="s">
        <v>1422</v>
      </c>
      <c r="V11" s="298" t="s">
        <v>148</v>
      </c>
      <c r="W11" s="193"/>
      <c r="X11" s="989" t="s">
        <v>1392</v>
      </c>
      <c r="Y11" s="980" t="s">
        <v>1423</v>
      </c>
      <c r="Z11" s="995"/>
      <c r="AP11" s="992" t="s">
        <v>189</v>
      </c>
      <c r="AQ11" s="994" t="s">
        <v>189</v>
      </c>
      <c r="AW11" s="1023" t="s">
        <v>1424</v>
      </c>
      <c r="AX11" s="1023" t="s">
        <v>1424</v>
      </c>
      <c r="AZ11" s="1023" t="s">
        <v>1425</v>
      </c>
      <c r="BB11" s="1023" t="s">
        <v>1426</v>
      </c>
      <c r="BC11" s="1023" t="s">
        <v>1328</v>
      </c>
      <c r="BE11" s="1023">
        <v>2009</v>
      </c>
      <c r="BF11" s="1023" t="s">
        <v>1427</v>
      </c>
      <c r="BH11" s="973" t="s">
        <v>1428</v>
      </c>
      <c r="BJ11" s="973" t="s">
        <v>1397</v>
      </c>
      <c r="BL11" s="973" t="s">
        <v>1397</v>
      </c>
      <c r="BN11" s="973" t="s">
        <v>1429</v>
      </c>
      <c r="BQ11" s="1201">
        <v>4213780</v>
      </c>
      <c r="BR11" s="973" t="s">
        <v>183</v>
      </c>
      <c r="BS11" s="1344"/>
      <c r="BW11" s="1601"/>
      <c r="BX11" s="1601"/>
    </row>
    <row r="12" spans="1:79" ht="11.25" customHeight="1">
      <c r="A12" s="979" t="s">
        <v>1430</v>
      </c>
      <c r="B12" s="980">
        <v>2010</v>
      </c>
      <c r="E12" s="981" t="s">
        <v>1431</v>
      </c>
      <c r="F12" s="997"/>
      <c r="G12" s="981" t="s">
        <v>1419</v>
      </c>
      <c r="I12" s="981" t="s">
        <v>149</v>
      </c>
      <c r="J12" s="982" t="s">
        <v>1432</v>
      </c>
      <c r="K12" s="1003" t="s">
        <v>1433</v>
      </c>
      <c r="O12" s="982" t="s">
        <v>1221</v>
      </c>
      <c r="V12" s="298" t="s">
        <v>149</v>
      </c>
      <c r="W12" s="994"/>
      <c r="X12" s="989" t="s">
        <v>1434</v>
      </c>
      <c r="Y12" s="980" t="s">
        <v>1227</v>
      </c>
      <c r="AP12" s="992"/>
      <c r="AW12" s="1023" t="s">
        <v>148</v>
      </c>
      <c r="AX12" s="1023" t="s">
        <v>148</v>
      </c>
      <c r="AZ12" s="1023" t="s">
        <v>1435</v>
      </c>
      <c r="BB12" s="1023" t="s">
        <v>1436</v>
      </c>
      <c r="BC12" s="1023" t="s">
        <v>1328</v>
      </c>
      <c r="BE12" s="1023">
        <v>2010</v>
      </c>
      <c r="BF12" s="1023" t="s">
        <v>1437</v>
      </c>
      <c r="BH12" s="973" t="s">
        <v>1438</v>
      </c>
      <c r="BJ12" s="973" t="s">
        <v>1439</v>
      </c>
      <c r="BL12" s="973" t="s">
        <v>1439</v>
      </c>
      <c r="BN12" s="973" t="s">
        <v>1440</v>
      </c>
      <c r="BQ12" s="1201">
        <v>4213779</v>
      </c>
      <c r="BR12" s="973" t="s">
        <v>1392</v>
      </c>
      <c r="BS12" s="1344"/>
      <c r="BT12" s="975"/>
      <c r="BU12" s="975"/>
      <c r="BV12" s="975"/>
      <c r="BW12" s="1601"/>
      <c r="BX12" s="1601"/>
    </row>
    <row r="13" spans="1:79" ht="11.25" customHeight="1">
      <c r="A13" s="979" t="s">
        <v>1441</v>
      </c>
      <c r="B13" s="980">
        <v>2011</v>
      </c>
      <c r="E13" s="981" t="s">
        <v>1442</v>
      </c>
      <c r="F13" s="997"/>
      <c r="I13" s="981" t="s">
        <v>150</v>
      </c>
      <c r="K13" s="1003" t="s">
        <v>1391</v>
      </c>
      <c r="V13" s="298" t="s">
        <v>150</v>
      </c>
      <c r="W13" s="994"/>
      <c r="X13" s="994"/>
      <c r="Y13" s="994"/>
      <c r="AW13" s="1023" t="s">
        <v>149</v>
      </c>
      <c r="AX13" s="1023" t="s">
        <v>149</v>
      </c>
      <c r="BB13" s="1023" t="s">
        <v>1443</v>
      </c>
      <c r="BC13" s="1023" t="s">
        <v>1444</v>
      </c>
      <c r="BE13" s="1023">
        <v>2011</v>
      </c>
      <c r="BF13" s="1023" t="s">
        <v>1445</v>
      </c>
      <c r="BH13" s="973" t="s">
        <v>1446</v>
      </c>
      <c r="BJ13" s="973" t="s">
        <v>1428</v>
      </c>
      <c r="BL13" s="973" t="s">
        <v>1428</v>
      </c>
      <c r="BN13" s="973" t="s">
        <v>1447</v>
      </c>
      <c r="BQ13" s="1201">
        <v>4213783</v>
      </c>
      <c r="BR13" s="973" t="s">
        <v>1407</v>
      </c>
      <c r="BS13" s="1344"/>
      <c r="BT13" s="975"/>
      <c r="BU13" s="975"/>
      <c r="BV13" s="975"/>
      <c r="BW13" s="1605"/>
      <c r="BX13" s="1601"/>
    </row>
    <row r="14" spans="1:79" ht="11.25" customHeight="1">
      <c r="A14" s="979" t="s">
        <v>1448</v>
      </c>
      <c r="B14" s="980">
        <v>2012</v>
      </c>
      <c r="I14" s="981" t="s">
        <v>151</v>
      </c>
      <c r="J14" s="972" t="s">
        <v>1449</v>
      </c>
      <c r="N14" s="972" t="s">
        <v>1450</v>
      </c>
      <c r="V14" s="988">
        <v>13</v>
      </c>
      <c r="W14" s="989"/>
      <c r="X14" s="989" t="s">
        <v>1260</v>
      </c>
      <c r="Y14" s="980" t="s">
        <v>1227</v>
      </c>
      <c r="AW14" s="1023" t="s">
        <v>150</v>
      </c>
      <c r="AX14" s="1023" t="s">
        <v>150</v>
      </c>
      <c r="AZ14" s="972" t="s">
        <v>1451</v>
      </c>
      <c r="BB14" s="1023" t="s">
        <v>1452</v>
      </c>
      <c r="BC14" s="1023" t="s">
        <v>1444</v>
      </c>
      <c r="BE14" s="1023">
        <v>2012</v>
      </c>
      <c r="BH14" s="973" t="s">
        <v>1368</v>
      </c>
      <c r="BJ14" s="1121" t="s">
        <v>1453</v>
      </c>
      <c r="BL14" s="1121" t="s">
        <v>1453</v>
      </c>
      <c r="BN14" s="973" t="s">
        <v>1454</v>
      </c>
      <c r="BQ14" s="1201">
        <v>4213782</v>
      </c>
      <c r="BR14" s="973" t="s">
        <v>189</v>
      </c>
      <c r="BS14" s="1344"/>
      <c r="BT14" s="975"/>
      <c r="BU14" s="975"/>
      <c r="BV14" s="975"/>
      <c r="BW14" s="1605"/>
      <c r="BX14" s="1601"/>
    </row>
    <row r="15" spans="1:79" ht="19.5" customHeight="1">
      <c r="A15" s="979" t="s">
        <v>1455</v>
      </c>
      <c r="B15" s="980">
        <v>2013</v>
      </c>
      <c r="E15" s="1609" t="s">
        <v>1456</v>
      </c>
      <c r="G15" s="972" t="s">
        <v>1457</v>
      </c>
      <c r="H15" s="972" t="s">
        <v>1458</v>
      </c>
      <c r="I15" s="983" t="s">
        <v>152</v>
      </c>
      <c r="J15" s="994" t="s">
        <v>567</v>
      </c>
      <c r="N15" s="1058" t="s">
        <v>1459</v>
      </c>
      <c r="X15" s="992"/>
      <c r="AW15" s="1023" t="s">
        <v>151</v>
      </c>
      <c r="AX15" s="1023" t="s">
        <v>151</v>
      </c>
      <c r="AZ15" s="1023" t="s">
        <v>1378</v>
      </c>
      <c r="BB15" s="1023" t="s">
        <v>1460</v>
      </c>
      <c r="BC15" s="1023" t="s">
        <v>1444</v>
      </c>
      <c r="BE15" s="1023">
        <v>2013</v>
      </c>
      <c r="BH15" s="973" t="s">
        <v>1383</v>
      </c>
      <c r="BJ15" s="1121" t="s">
        <v>1461</v>
      </c>
      <c r="BL15" s="1121" t="s">
        <v>1461</v>
      </c>
      <c r="BN15" s="973" t="s">
        <v>1462</v>
      </c>
      <c r="BR15" s="975"/>
      <c r="BS15" s="1346"/>
      <c r="BT15" s="975"/>
      <c r="BU15" s="975"/>
      <c r="BV15" s="975"/>
      <c r="BW15" s="1605"/>
      <c r="BX15" s="1601"/>
    </row>
    <row r="16" spans="1:79" ht="21" customHeight="1">
      <c r="A16" s="1780" t="s">
        <v>1463</v>
      </c>
      <c r="B16" s="980">
        <v>2014</v>
      </c>
      <c r="E16" s="1610" t="s">
        <v>1464</v>
      </c>
      <c r="G16" s="981" t="s">
        <v>1465</v>
      </c>
      <c r="H16" s="981" t="s">
        <v>1466</v>
      </c>
      <c r="I16" s="983" t="s">
        <v>1467</v>
      </c>
      <c r="J16" s="994" t="s">
        <v>540</v>
      </c>
      <c r="N16" s="1058" t="s">
        <v>1468</v>
      </c>
      <c r="AW16" s="1023" t="s">
        <v>152</v>
      </c>
      <c r="AX16" s="1023" t="s">
        <v>152</v>
      </c>
      <c r="AZ16" s="1023" t="s">
        <v>1394</v>
      </c>
      <c r="BB16" s="1023" t="s">
        <v>1469</v>
      </c>
      <c r="BC16" s="1023" t="s">
        <v>1444</v>
      </c>
      <c r="BE16" s="1023">
        <v>2014</v>
      </c>
      <c r="BH16" s="973" t="s">
        <v>1399</v>
      </c>
      <c r="BJ16" s="1121" t="s">
        <v>1470</v>
      </c>
      <c r="BL16" s="1121" t="s">
        <v>1470</v>
      </c>
      <c r="BN16" s="973" t="s">
        <v>1471</v>
      </c>
      <c r="BR16" s="975"/>
      <c r="BS16" s="1346"/>
      <c r="BT16" s="975"/>
      <c r="BU16" s="975"/>
      <c r="BV16" s="975"/>
      <c r="BW16" s="1605"/>
      <c r="BX16" s="1601"/>
    </row>
    <row r="17" spans="1:82" ht="21" customHeight="1">
      <c r="A17" s="979" t="s">
        <v>1472</v>
      </c>
      <c r="B17" s="980">
        <v>2015</v>
      </c>
      <c r="G17" s="981" t="s">
        <v>1419</v>
      </c>
      <c r="H17" s="981" t="s">
        <v>1419</v>
      </c>
      <c r="I17" s="981" t="s">
        <v>1473</v>
      </c>
      <c r="N17" s="1058" t="s">
        <v>1474</v>
      </c>
      <c r="X17" s="992"/>
      <c r="AW17" s="1023" t="s">
        <v>1467</v>
      </c>
      <c r="AX17" s="1023" t="s">
        <v>1467</v>
      </c>
      <c r="AZ17" s="1023" t="s">
        <v>1475</v>
      </c>
      <c r="BB17" s="1023" t="s">
        <v>1476</v>
      </c>
      <c r="BC17" s="1023" t="s">
        <v>1328</v>
      </c>
      <c r="BE17" s="1023">
        <v>2015</v>
      </c>
      <c r="BH17" s="973" t="s">
        <v>1415</v>
      </c>
      <c r="BJ17" s="1121" t="s">
        <v>1477</v>
      </c>
      <c r="BL17" s="1121" t="s">
        <v>1477</v>
      </c>
      <c r="BN17" s="973" t="s">
        <v>1478</v>
      </c>
      <c r="BR17" s="972" t="s">
        <v>1271</v>
      </c>
      <c r="BS17" s="1343"/>
      <c r="BU17" s="972" t="s">
        <v>1479</v>
      </c>
      <c r="BV17" s="975"/>
      <c r="BW17" s="1601"/>
      <c r="BX17" s="1603" t="s">
        <v>1480</v>
      </c>
      <c r="CA17" s="972" t="s">
        <v>1481</v>
      </c>
      <c r="CD17" s="972" t="s">
        <v>1482</v>
      </c>
    </row>
    <row r="18" spans="1:82" ht="21" customHeight="1">
      <c r="A18" s="979" t="s">
        <v>1483</v>
      </c>
      <c r="B18" s="980">
        <v>2016</v>
      </c>
      <c r="I18" s="981" t="s">
        <v>1484</v>
      </c>
      <c r="N18" s="1058" t="s">
        <v>1485</v>
      </c>
      <c r="X18" s="992"/>
      <c r="AW18" s="1023" t="s">
        <v>1473</v>
      </c>
      <c r="AX18" s="1023" t="s">
        <v>1473</v>
      </c>
      <c r="BB18" s="1023" t="s">
        <v>1486</v>
      </c>
      <c r="BC18" s="1023" t="s">
        <v>1328</v>
      </c>
      <c r="BE18" s="1023">
        <v>2016</v>
      </c>
      <c r="BH18" s="973" t="s">
        <v>1429</v>
      </c>
      <c r="BJ18" s="1121" t="s">
        <v>1487</v>
      </c>
      <c r="BL18" s="1121" t="s">
        <v>1487</v>
      </c>
      <c r="BN18" s="973" t="s">
        <v>1488</v>
      </c>
      <c r="BQ18" s="1347" t="s">
        <v>1301</v>
      </c>
      <c r="BR18" s="1059" t="s">
        <v>1302</v>
      </c>
      <c r="BS18" s="192"/>
      <c r="BT18" s="1347" t="s">
        <v>1489</v>
      </c>
      <c r="BU18" s="1059" t="s">
        <v>1490</v>
      </c>
      <c r="BV18" s="975"/>
      <c r="BW18" s="1608" t="s">
        <v>1491</v>
      </c>
      <c r="BX18" s="1602" t="s">
        <v>1492</v>
      </c>
      <c r="BZ18" s="1347" t="s">
        <v>1493</v>
      </c>
      <c r="CA18" s="1059" t="s">
        <v>1494</v>
      </c>
      <c r="CC18" s="1347" t="s">
        <v>1495</v>
      </c>
      <c r="CD18" s="1059" t="s">
        <v>1496</v>
      </c>
    </row>
    <row r="19" spans="1:82" ht="21" customHeight="1">
      <c r="A19" s="1780" t="s">
        <v>1497</v>
      </c>
      <c r="B19" s="980">
        <v>2017</v>
      </c>
      <c r="I19" s="981" t="s">
        <v>1498</v>
      </c>
      <c r="N19" s="1058" t="s">
        <v>1499</v>
      </c>
      <c r="X19" s="992"/>
      <c r="AW19" s="1023" t="s">
        <v>1484</v>
      </c>
      <c r="AX19" s="1023" t="s">
        <v>1484</v>
      </c>
      <c r="AZ19" s="972" t="s">
        <v>1500</v>
      </c>
      <c r="BB19" s="1023" t="s">
        <v>1501</v>
      </c>
      <c r="BC19" s="1023" t="s">
        <v>1328</v>
      </c>
      <c r="BE19" s="1023">
        <v>2017</v>
      </c>
      <c r="BH19" s="973" t="s">
        <v>1502</v>
      </c>
      <c r="BJ19" s="1121" t="s">
        <v>1503</v>
      </c>
      <c r="BL19" s="1121" t="s">
        <v>1503</v>
      </c>
      <c r="BQ19" s="1201">
        <v>4190064</v>
      </c>
      <c r="BR19" s="973" t="s">
        <v>1504</v>
      </c>
      <c r="BS19" s="1344"/>
      <c r="BT19" s="1201">
        <v>4189671</v>
      </c>
      <c r="BU19" s="973" t="s">
        <v>1505</v>
      </c>
      <c r="BV19" s="975"/>
      <c r="BW19" s="1606">
        <v>4189706</v>
      </c>
      <c r="BX19" s="1604" t="s">
        <v>1506</v>
      </c>
      <c r="BZ19" s="1201">
        <v>4189714</v>
      </c>
      <c r="CA19" s="973" t="s">
        <v>1507</v>
      </c>
      <c r="CC19" s="1201">
        <v>4189708</v>
      </c>
      <c r="CD19" s="973" t="s">
        <v>1508</v>
      </c>
    </row>
    <row r="20" spans="1:82" ht="21" customHeight="1">
      <c r="A20" s="979" t="s">
        <v>1509</v>
      </c>
      <c r="B20" s="980">
        <v>2018</v>
      </c>
      <c r="I20" s="981" t="s">
        <v>1510</v>
      </c>
      <c r="N20" s="1058" t="s">
        <v>1511</v>
      </c>
      <c r="AW20" s="1023" t="s">
        <v>1498</v>
      </c>
      <c r="AX20" s="1023" t="s">
        <v>1498</v>
      </c>
      <c r="AZ20" s="1023" t="s">
        <v>1512</v>
      </c>
      <c r="BB20" s="1023" t="s">
        <v>1513</v>
      </c>
      <c r="BC20" s="1023" t="s">
        <v>1444</v>
      </c>
      <c r="BE20" s="1023">
        <v>2018</v>
      </c>
      <c r="BH20" s="973" t="s">
        <v>1440</v>
      </c>
      <c r="BJ20" s="973" t="s">
        <v>1368</v>
      </c>
      <c r="BL20" s="973" t="s">
        <v>1368</v>
      </c>
      <c r="BQ20" s="1201">
        <v>4190065</v>
      </c>
      <c r="BR20" s="973" t="s">
        <v>1514</v>
      </c>
      <c r="BS20" s="1344"/>
      <c r="BT20" s="1201">
        <v>4189672</v>
      </c>
      <c r="BU20" s="973" t="s">
        <v>1515</v>
      </c>
      <c r="BV20" s="975"/>
      <c r="BW20" s="1606">
        <v>4189705</v>
      </c>
      <c r="BX20" s="1604" t="s">
        <v>1516</v>
      </c>
      <c r="BZ20" s="1201">
        <v>4189713</v>
      </c>
      <c r="CA20" s="973" t="s">
        <v>1516</v>
      </c>
      <c r="CC20" s="1201">
        <v>4189709</v>
      </c>
      <c r="CD20" s="973" t="s">
        <v>1517</v>
      </c>
    </row>
    <row r="21" spans="1:82" ht="21" customHeight="1">
      <c r="A21" s="979" t="s">
        <v>1518</v>
      </c>
      <c r="B21" s="980">
        <v>2019</v>
      </c>
      <c r="I21" s="981" t="s">
        <v>1519</v>
      </c>
      <c r="N21" s="1058" t="s">
        <v>1520</v>
      </c>
      <c r="AW21" s="1023" t="s">
        <v>1510</v>
      </c>
      <c r="AX21" s="1023" t="s">
        <v>1510</v>
      </c>
      <c r="AZ21" s="1023" t="s">
        <v>1521</v>
      </c>
      <c r="BB21" s="1023" t="s">
        <v>1522</v>
      </c>
      <c r="BC21" s="1023" t="s">
        <v>1328</v>
      </c>
      <c r="BE21" s="1023">
        <v>2019</v>
      </c>
      <c r="BH21" s="973" t="s">
        <v>1447</v>
      </c>
      <c r="BJ21" s="973" t="s">
        <v>1383</v>
      </c>
      <c r="BL21" s="973" t="s">
        <v>1383</v>
      </c>
      <c r="BQ21" s="1201">
        <v>4190066</v>
      </c>
      <c r="BR21" s="973" t="s">
        <v>1523</v>
      </c>
      <c r="BS21" s="1344"/>
      <c r="BT21" s="1201">
        <v>4189673</v>
      </c>
      <c r="BU21" s="973" t="s">
        <v>1524</v>
      </c>
      <c r="BV21" s="975"/>
      <c r="BW21" s="1606">
        <v>4189707</v>
      </c>
      <c r="BX21" s="1604" t="s">
        <v>1525</v>
      </c>
      <c r="BZ21" s="1201">
        <v>4189712</v>
      </c>
      <c r="CA21" s="973" t="s">
        <v>1526</v>
      </c>
      <c r="CC21" s="1201">
        <v>4189710</v>
      </c>
      <c r="CD21" s="973" t="s">
        <v>1527</v>
      </c>
    </row>
    <row r="22" spans="1:82" ht="21" customHeight="1">
      <c r="A22" s="979" t="s">
        <v>1528</v>
      </c>
      <c r="B22" s="980">
        <v>2020</v>
      </c>
      <c r="N22" s="1058" t="s">
        <v>1529</v>
      </c>
      <c r="AW22" s="1023" t="s">
        <v>1519</v>
      </c>
      <c r="AX22" s="1023" t="s">
        <v>1519</v>
      </c>
      <c r="AZ22" s="1023" t="s">
        <v>1530</v>
      </c>
      <c r="BB22" s="1023" t="s">
        <v>1531</v>
      </c>
      <c r="BC22" s="1023" t="s">
        <v>1328</v>
      </c>
      <c r="BE22" s="1023">
        <v>2020</v>
      </c>
      <c r="BH22" s="973" t="s">
        <v>1454</v>
      </c>
      <c r="BJ22" s="973" t="s">
        <v>1399</v>
      </c>
      <c r="BL22" s="973" t="s">
        <v>1399</v>
      </c>
      <c r="BQ22" s="1201">
        <v>4190067</v>
      </c>
      <c r="BR22" s="973" t="s">
        <v>1532</v>
      </c>
      <c r="BS22" s="1344"/>
      <c r="BT22" s="1201">
        <v>4189674</v>
      </c>
      <c r="BU22" s="973" t="s">
        <v>1533</v>
      </c>
      <c r="BV22" s="975"/>
      <c r="BW22" s="975"/>
      <c r="CC22" s="1201">
        <v>4189711</v>
      </c>
      <c r="CD22" s="973" t="s">
        <v>282</v>
      </c>
    </row>
    <row r="23" spans="1:82" ht="21" customHeight="1">
      <c r="A23" s="979" t="s">
        <v>1534</v>
      </c>
      <c r="B23" s="980">
        <v>2021</v>
      </c>
      <c r="AW23" s="1023" t="s">
        <v>1535</v>
      </c>
      <c r="AX23" s="1023" t="s">
        <v>1535</v>
      </c>
      <c r="AZ23" s="1023" t="s">
        <v>1536</v>
      </c>
      <c r="BB23" s="1023" t="s">
        <v>1537</v>
      </c>
      <c r="BC23" s="1023" t="s">
        <v>1238</v>
      </c>
      <c r="BE23" s="1023">
        <v>2021</v>
      </c>
      <c r="BH23" s="973" t="s">
        <v>1462</v>
      </c>
      <c r="BJ23" s="973" t="s">
        <v>1415</v>
      </c>
      <c r="BL23" s="973" t="s">
        <v>1415</v>
      </c>
      <c r="BQ23" s="1201">
        <v>4190068</v>
      </c>
      <c r="BR23" s="973" t="s">
        <v>1538</v>
      </c>
      <c r="BS23" s="1344"/>
      <c r="BT23" s="1201">
        <v>4189675</v>
      </c>
      <c r="BU23" s="973" t="s">
        <v>1539</v>
      </c>
      <c r="BV23" s="975"/>
      <c r="BW23" s="975"/>
      <c r="CC23" s="1201">
        <v>5110778</v>
      </c>
      <c r="CD23" s="973" t="s">
        <v>1540</v>
      </c>
    </row>
    <row r="24" spans="1:82" ht="21" customHeight="1">
      <c r="A24" s="979" t="s">
        <v>1541</v>
      </c>
      <c r="B24" s="980">
        <v>2022</v>
      </c>
      <c r="AW24" s="1023" t="s">
        <v>1542</v>
      </c>
      <c r="AX24" s="1023" t="s">
        <v>1542</v>
      </c>
      <c r="AZ24" s="1023" t="s">
        <v>1543</v>
      </c>
      <c r="BB24" s="1023" t="s">
        <v>1544</v>
      </c>
      <c r="BC24" s="1023" t="s">
        <v>1545</v>
      </c>
      <c r="BE24" s="1023">
        <v>2022</v>
      </c>
      <c r="BH24" s="973" t="s">
        <v>1471</v>
      </c>
      <c r="BJ24" s="973" t="s">
        <v>1429</v>
      </c>
      <c r="BL24" s="973" t="s">
        <v>1429</v>
      </c>
      <c r="BQ24" s="1201">
        <v>4190069</v>
      </c>
      <c r="BR24" s="973" t="s">
        <v>1546</v>
      </c>
      <c r="BS24" s="1344"/>
      <c r="BT24" s="1201">
        <v>4189676</v>
      </c>
      <c r="BU24" s="973" t="s">
        <v>1547</v>
      </c>
      <c r="BV24" s="975"/>
      <c r="BW24" s="975"/>
      <c r="CC24" s="1201">
        <v>25575374</v>
      </c>
      <c r="CD24" s="973" t="s">
        <v>1548</v>
      </c>
    </row>
    <row r="25" spans="1:82" ht="11.25" customHeight="1">
      <c r="A25" s="979" t="s">
        <v>1549</v>
      </c>
      <c r="B25" s="980">
        <v>2023</v>
      </c>
      <c r="AW25" s="1023" t="s">
        <v>1550</v>
      </c>
      <c r="AX25" s="1023" t="s">
        <v>1550</v>
      </c>
      <c r="AZ25" s="1023" t="s">
        <v>1551</v>
      </c>
      <c r="BB25" s="1023" t="s">
        <v>1552</v>
      </c>
      <c r="BC25" s="1023" t="s">
        <v>1545</v>
      </c>
      <c r="BE25" s="1023">
        <v>2023</v>
      </c>
      <c r="BH25" s="973" t="s">
        <v>1478</v>
      </c>
      <c r="BJ25" s="973" t="s">
        <v>1502</v>
      </c>
      <c r="BL25" s="973" t="s">
        <v>1502</v>
      </c>
      <c r="BQ25" s="1201">
        <v>4190070</v>
      </c>
      <c r="BR25" s="973" t="s">
        <v>1553</v>
      </c>
      <c r="BS25" s="1344"/>
      <c r="BT25" s="1201">
        <v>4189677</v>
      </c>
      <c r="BU25" s="973" t="s">
        <v>1554</v>
      </c>
      <c r="BV25" s="975"/>
      <c r="BW25" s="975"/>
    </row>
    <row r="26" spans="1:82" ht="11.25" customHeight="1">
      <c r="A26" s="979" t="s">
        <v>1555</v>
      </c>
      <c r="B26" s="980">
        <v>2024</v>
      </c>
      <c r="J26" s="1641" t="s">
        <v>1556</v>
      </c>
      <c r="AX26" s="1023" t="s">
        <v>1557</v>
      </c>
      <c r="AZ26" s="1023" t="s">
        <v>1422</v>
      </c>
      <c r="BB26" s="1023" t="s">
        <v>1558</v>
      </c>
      <c r="BC26" s="1023" t="s">
        <v>1545</v>
      </c>
      <c r="BE26" s="1023">
        <v>2024</v>
      </c>
      <c r="BH26" s="973" t="s">
        <v>1488</v>
      </c>
      <c r="BJ26" s="973" t="s">
        <v>1440</v>
      </c>
      <c r="BL26" s="973" t="s">
        <v>1440</v>
      </c>
      <c r="BQ26" s="1201">
        <v>4190071</v>
      </c>
      <c r="BR26" s="973" t="s">
        <v>1559</v>
      </c>
      <c r="BS26" s="1344"/>
      <c r="BV26" s="975"/>
      <c r="BW26" s="975"/>
    </row>
    <row r="27" spans="1:82" ht="11.25" customHeight="1">
      <c r="A27" s="979" t="s">
        <v>1560</v>
      </c>
      <c r="B27" s="980">
        <v>2025</v>
      </c>
      <c r="J27" s="97" t="s">
        <v>477</v>
      </c>
      <c r="AX27" s="1023" t="s">
        <v>1561</v>
      </c>
      <c r="BB27" s="1023" t="s">
        <v>1562</v>
      </c>
      <c r="BC27" s="1023" t="s">
        <v>1545</v>
      </c>
      <c r="BE27" s="1023">
        <v>2025</v>
      </c>
      <c r="BH27" s="975" t="s">
        <v>24</v>
      </c>
      <c r="BJ27" s="973" t="s">
        <v>1447</v>
      </c>
      <c r="BL27" s="973" t="s">
        <v>1447</v>
      </c>
      <c r="BN27" s="975" t="s">
        <v>24</v>
      </c>
      <c r="BQ27" s="1201">
        <v>4190072</v>
      </c>
      <c r="BR27" s="973" t="s">
        <v>1563</v>
      </c>
      <c r="BS27" s="1344"/>
      <c r="BV27" s="975"/>
      <c r="BW27" s="975"/>
    </row>
    <row r="28" spans="1:82" ht="11.25" customHeight="1">
      <c r="A28" s="979" t="s">
        <v>1564</v>
      </c>
      <c r="D28" s="1004"/>
      <c r="E28" s="1005"/>
      <c r="F28" s="1005"/>
      <c r="H28" s="1006" t="s">
        <v>1565</v>
      </c>
      <c r="AX28" s="1023" t="s">
        <v>1566</v>
      </c>
      <c r="AZ28" s="972" t="s">
        <v>1567</v>
      </c>
      <c r="BB28" s="1023" t="s">
        <v>1568</v>
      </c>
      <c r="BC28" s="1023" t="s">
        <v>1569</v>
      </c>
      <c r="BE28" s="1023">
        <v>2026</v>
      </c>
      <c r="BH28" s="975" t="s">
        <v>24</v>
      </c>
      <c r="BJ28" s="973" t="s">
        <v>1454</v>
      </c>
      <c r="BL28" s="973" t="s">
        <v>1454</v>
      </c>
      <c r="BN28" s="975" t="s">
        <v>24</v>
      </c>
      <c r="BQ28" s="1201">
        <v>4190073</v>
      </c>
      <c r="BR28" s="973" t="s">
        <v>1570</v>
      </c>
      <c r="BS28" s="1344"/>
      <c r="BV28" s="975"/>
      <c r="BW28" s="975"/>
    </row>
    <row r="29" spans="1:82" ht="11.25" customHeight="1">
      <c r="A29" s="979" t="s">
        <v>1571</v>
      </c>
      <c r="D29" s="1007" t="s">
        <v>1572</v>
      </c>
      <c r="E29" s="1008">
        <f>IF(TEMPLATE_GROUP="","",INDEX(StartDateList,MATCH(TEMPLATE_GROUP,CodeTemplateList,0),1))</f>
        <v>44927.675127314818</v>
      </c>
      <c r="F29" s="1008">
        <f>IF(TEMPLATE_GROUP="","",INDEX(EndDateList,MATCH(TEMPLATE_GROUP,CodeTemplateList,0),1))</f>
        <v>46752.675324074073</v>
      </c>
      <c r="H29" s="1009" t="s">
        <v>1573</v>
      </c>
      <c r="AX29" s="1023" t="s">
        <v>1574</v>
      </c>
      <c r="AZ29" s="1023" t="s">
        <v>1222</v>
      </c>
      <c r="BB29" s="1023" t="s">
        <v>1422</v>
      </c>
      <c r="BC29" s="995"/>
      <c r="BE29" s="1023">
        <v>2027</v>
      </c>
      <c r="BJ29" s="973" t="s">
        <v>1462</v>
      </c>
      <c r="BL29" s="973" t="s">
        <v>1462</v>
      </c>
    </row>
    <row r="30" spans="1:82" ht="11.25" customHeight="1">
      <c r="A30" s="979" t="s">
        <v>1575</v>
      </c>
      <c r="D30" s="1010"/>
      <c r="E30" s="1011"/>
      <c r="F30" s="1011"/>
      <c r="AX30" s="1023" t="s">
        <v>1576</v>
      </c>
      <c r="AZ30" s="1023" t="s">
        <v>1249</v>
      </c>
      <c r="BE30" s="1023">
        <v>2028</v>
      </c>
      <c r="BJ30" s="973" t="s">
        <v>1577</v>
      </c>
      <c r="BL30" s="973" t="s">
        <v>1577</v>
      </c>
    </row>
    <row r="31" spans="1:82" ht="12.75" customHeight="1">
      <c r="A31" s="979" t="s">
        <v>14</v>
      </c>
      <c r="D31" s="1004"/>
      <c r="E31" s="1005"/>
      <c r="F31" s="1005"/>
      <c r="H31" s="1012"/>
      <c r="AX31" s="1023" t="s">
        <v>1578</v>
      </c>
      <c r="AZ31" s="1023" t="s">
        <v>1579</v>
      </c>
      <c r="BE31" s="1023">
        <v>2029</v>
      </c>
      <c r="BJ31" s="973" t="s">
        <v>1580</v>
      </c>
      <c r="BL31" s="973" t="s">
        <v>1580</v>
      </c>
    </row>
    <row r="32" spans="1:82" ht="11.25" customHeight="1">
      <c r="A32" s="979" t="s">
        <v>1581</v>
      </c>
      <c r="D32" s="1007" t="s">
        <v>1582</v>
      </c>
      <c r="E32" s="1008">
        <f>IF(TEMPLATE_GROUP="","",INDEX(StartDateList,MATCH(TEMPLATE_GROUP,CodeTemplateList,0),1))</f>
        <v>44927.675127314818</v>
      </c>
      <c r="F32" s="1008">
        <f>IF(TEMPLATE_GROUP="","",INDEX(EndDateList,MATCH(TEMPLATE_GROUP,CodeTemplateList,0),1))</f>
        <v>46752.675324074073</v>
      </c>
      <c r="H32" s="1013" t="s">
        <v>1583</v>
      </c>
      <c r="O32" s="979" t="s">
        <v>1219</v>
      </c>
      <c r="AX32" s="1023" t="s">
        <v>1584</v>
      </c>
      <c r="AZ32" s="1023" t="s">
        <v>486</v>
      </c>
      <c r="BE32" s="1023">
        <v>2030</v>
      </c>
      <c r="BJ32" s="973" t="s">
        <v>1471</v>
      </c>
      <c r="BL32" s="973" t="s">
        <v>1471</v>
      </c>
    </row>
    <row r="33" spans="1:66" ht="11.25" customHeight="1">
      <c r="A33" s="979" t="s">
        <v>1585</v>
      </c>
      <c r="O33" s="979" t="s">
        <v>1247</v>
      </c>
      <c r="AX33" s="1023" t="s">
        <v>1586</v>
      </c>
      <c r="AZ33" s="1023" t="s">
        <v>1221</v>
      </c>
      <c r="BE33" s="1023">
        <v>2031</v>
      </c>
      <c r="BJ33" s="973" t="s">
        <v>1478</v>
      </c>
      <c r="BL33" s="973" t="s">
        <v>1478</v>
      </c>
    </row>
    <row r="34" spans="1:66" ht="11.25" customHeight="1">
      <c r="A34" s="979" t="s">
        <v>1587</v>
      </c>
      <c r="O34" s="979" t="s">
        <v>1282</v>
      </c>
      <c r="AX34" s="1023" t="s">
        <v>1588</v>
      </c>
      <c r="BE34" s="1023">
        <v>2032</v>
      </c>
      <c r="BJ34" s="973" t="s">
        <v>1488</v>
      </c>
      <c r="BL34" s="973" t="s">
        <v>1488</v>
      </c>
    </row>
    <row r="35" spans="1:66" ht="11.25" customHeight="1">
      <c r="A35" s="979" t="s">
        <v>1589</v>
      </c>
      <c r="O35" s="979" t="s">
        <v>1315</v>
      </c>
      <c r="AX35" s="1023" t="s">
        <v>1590</v>
      </c>
      <c r="AZ35" s="972" t="s">
        <v>1591</v>
      </c>
      <c r="BE35" s="1023">
        <v>2033</v>
      </c>
      <c r="BL35" s="973" t="s">
        <v>1592</v>
      </c>
    </row>
    <row r="36" spans="1:66" ht="11.25" customHeight="1">
      <c r="A36" s="1780" t="s">
        <v>1593</v>
      </c>
      <c r="D36" s="1014" t="s">
        <v>1594</v>
      </c>
      <c r="E36" s="1015" t="s">
        <v>752</v>
      </c>
      <c r="F36" s="1016" t="str">
        <f>INDEX(E37:E41,MATCH(TEMPLATE_SPHERE,F37:F41,0))</f>
        <v>холодного водоснабжения</v>
      </c>
      <c r="G36" s="1016" t="str">
        <f>INDEX(G37:G41,MATCH(TEMPLATE_SPHERE,F37:F41,0))</f>
        <v>холодное водоснабжение</v>
      </c>
      <c r="O36" s="979" t="s">
        <v>1339</v>
      </c>
      <c r="AX36" s="1023" t="s">
        <v>1595</v>
      </c>
      <c r="AZ36" s="1023" t="s">
        <v>1221</v>
      </c>
      <c r="BE36" s="1023">
        <v>2034</v>
      </c>
      <c r="BL36" s="973" t="s">
        <v>1596</v>
      </c>
    </row>
    <row r="37" spans="1:66" ht="11.25" customHeight="1">
      <c r="A37" s="979" t="s">
        <v>1597</v>
      </c>
      <c r="E37" s="341" t="s">
        <v>1598</v>
      </c>
      <c r="F37" s="1017" t="s">
        <v>706</v>
      </c>
      <c r="G37" s="341" t="s">
        <v>1599</v>
      </c>
      <c r="O37" s="979" t="s">
        <v>1358</v>
      </c>
      <c r="AX37" s="1023" t="s">
        <v>1600</v>
      </c>
      <c r="AZ37" s="1023" t="s">
        <v>1248</v>
      </c>
      <c r="BE37" s="1023">
        <v>2035</v>
      </c>
    </row>
    <row r="38" spans="1:66" ht="11.25" customHeight="1">
      <c r="A38" s="979" t="s">
        <v>1601</v>
      </c>
      <c r="E38" s="341" t="s">
        <v>1602</v>
      </c>
      <c r="F38" s="1018" t="s">
        <v>752</v>
      </c>
      <c r="G38" s="341" t="s">
        <v>1603</v>
      </c>
      <c r="O38" s="979" t="s">
        <v>1374</v>
      </c>
      <c r="AX38" s="1023" t="s">
        <v>1604</v>
      </c>
      <c r="AZ38" s="1023" t="s">
        <v>1283</v>
      </c>
      <c r="BE38" s="1023">
        <v>2036</v>
      </c>
      <c r="BH38" s="972" t="s">
        <v>1605</v>
      </c>
      <c r="BJ38" s="972" t="s">
        <v>1606</v>
      </c>
      <c r="BL38" s="972" t="s">
        <v>1607</v>
      </c>
      <c r="BN38" s="972" t="s">
        <v>1608</v>
      </c>
    </row>
    <row r="39" spans="1:66" ht="11.25" customHeight="1">
      <c r="A39" s="979" t="s">
        <v>1609</v>
      </c>
      <c r="E39" s="341" t="s">
        <v>1610</v>
      </c>
      <c r="F39" s="1018" t="s">
        <v>804</v>
      </c>
      <c r="G39" s="341" t="s">
        <v>1611</v>
      </c>
      <c r="O39" s="979" t="s">
        <v>1390</v>
      </c>
      <c r="AX39" s="1023" t="s">
        <v>1612</v>
      </c>
      <c r="AZ39" s="1023" t="s">
        <v>1316</v>
      </c>
      <c r="BE39" s="1023">
        <v>2037</v>
      </c>
      <c r="BH39" s="973" t="s">
        <v>1613</v>
      </c>
      <c r="BJ39" s="1121" t="s">
        <v>1613</v>
      </c>
      <c r="BL39" s="1121" t="s">
        <v>1613</v>
      </c>
      <c r="BN39" s="973" t="s">
        <v>1614</v>
      </c>
    </row>
    <row r="40" spans="1:66" ht="11.25" customHeight="1">
      <c r="A40" s="979" t="s">
        <v>1615</v>
      </c>
      <c r="E40" s="341" t="s">
        <v>1616</v>
      </c>
      <c r="F40" s="1018" t="s">
        <v>790</v>
      </c>
      <c r="G40" s="341" t="s">
        <v>1617</v>
      </c>
      <c r="O40" s="979" t="s">
        <v>1406</v>
      </c>
      <c r="AX40" s="1023" t="s">
        <v>1618</v>
      </c>
      <c r="BE40" s="1023">
        <v>2038</v>
      </c>
      <c r="BH40" s="973" t="s">
        <v>1619</v>
      </c>
      <c r="BJ40" s="1121" t="s">
        <v>925</v>
      </c>
      <c r="BL40" s="1121" t="s">
        <v>925</v>
      </c>
      <c r="BN40" s="973" t="s">
        <v>959</v>
      </c>
    </row>
    <row r="41" spans="1:66" ht="11.25" customHeight="1">
      <c r="A41" s="979" t="s">
        <v>1620</v>
      </c>
      <c r="E41" s="341" t="s">
        <v>1621</v>
      </c>
      <c r="F41" s="1018" t="s">
        <v>1622</v>
      </c>
      <c r="G41" s="341" t="s">
        <v>1621</v>
      </c>
      <c r="O41" s="979" t="s">
        <v>1422</v>
      </c>
      <c r="AX41" s="1023" t="s">
        <v>1623</v>
      </c>
      <c r="AZ41" s="972" t="s">
        <v>1624</v>
      </c>
      <c r="BE41" s="1023">
        <v>2039</v>
      </c>
      <c r="BH41" s="973" t="s">
        <v>1625</v>
      </c>
      <c r="BJ41" s="1121" t="s">
        <v>921</v>
      </c>
      <c r="BL41" s="1121" t="s">
        <v>921</v>
      </c>
      <c r="BN41" s="973" t="s">
        <v>946</v>
      </c>
    </row>
    <row r="42" spans="1:66" ht="11.25" customHeight="1">
      <c r="A42" s="979" t="s">
        <v>1626</v>
      </c>
      <c r="AX42" s="1023" t="s">
        <v>1627</v>
      </c>
      <c r="AZ42" s="1023" t="s">
        <v>1219</v>
      </c>
      <c r="BE42" s="1023">
        <v>2040</v>
      </c>
      <c r="BH42" s="973" t="s">
        <v>943</v>
      </c>
      <c r="BJ42" s="1121" t="s">
        <v>923</v>
      </c>
      <c r="BL42" s="1121" t="s">
        <v>923</v>
      </c>
      <c r="BN42" s="973" t="s">
        <v>1628</v>
      </c>
    </row>
    <row r="43" spans="1:66" ht="11.25" customHeight="1">
      <c r="A43" s="979" t="s">
        <v>1629</v>
      </c>
      <c r="AX43" s="1023" t="s">
        <v>1630</v>
      </c>
      <c r="AZ43" s="1023" t="s">
        <v>1247</v>
      </c>
      <c r="BE43" s="1023">
        <v>2041</v>
      </c>
      <c r="BH43" s="973" t="s">
        <v>1631</v>
      </c>
      <c r="BJ43" s="1121" t="s">
        <v>1625</v>
      </c>
      <c r="BL43" s="1121" t="s">
        <v>1625</v>
      </c>
      <c r="BN43" s="973" t="s">
        <v>1632</v>
      </c>
    </row>
    <row r="44" spans="1:66" ht="11.25" customHeight="1">
      <c r="A44" s="979" t="s">
        <v>1633</v>
      </c>
      <c r="I44" s="716" t="s">
        <v>1634</v>
      </c>
      <c r="J44" s="994" t="s">
        <v>1635</v>
      </c>
      <c r="K44" s="994" t="s">
        <v>1636</v>
      </c>
      <c r="AX44" s="1023" t="s">
        <v>1637</v>
      </c>
      <c r="AZ44" s="1023" t="s">
        <v>1282</v>
      </c>
      <c r="BE44" s="1023">
        <v>2042</v>
      </c>
      <c r="BH44" s="973" t="s">
        <v>1638</v>
      </c>
      <c r="BJ44" s="1121" t="s">
        <v>943</v>
      </c>
      <c r="BL44" s="1121" t="s">
        <v>943</v>
      </c>
      <c r="BN44" s="973" t="s">
        <v>1639</v>
      </c>
    </row>
    <row r="45" spans="1:66" ht="11.25" customHeight="1">
      <c r="A45" s="979" t="s">
        <v>1640</v>
      </c>
      <c r="D45" s="1014" t="s">
        <v>1641</v>
      </c>
      <c r="E45" s="1015" t="s">
        <v>1642</v>
      </c>
      <c r="F45" s="714" t="s">
        <v>1643</v>
      </c>
      <c r="G45" s="713" t="s">
        <v>1644</v>
      </c>
      <c r="H45" s="716" t="s">
        <v>1645</v>
      </c>
      <c r="I45" s="1650" t="b">
        <f>INDEX(PeriodIsEmptyList,MATCH(TEMPLATE_GROUP,CodeTemplateList,0),1)</f>
        <v>0</v>
      </c>
      <c r="J45" s="1653" t="str">
        <f>INDEX(NameTemplatesInTitleList,MATCH(TEMPLATE_GROUP,CodeTemplateList,0),1)</f>
        <v>Показатели, подлежащие раскрытию в сфере холодного водоснабжения (цены и тарифы)</v>
      </c>
      <c r="K45" s="16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23" t="s">
        <v>1646</v>
      </c>
      <c r="AZ45" s="1023" t="s">
        <v>1315</v>
      </c>
      <c r="BE45" s="1023">
        <v>2043</v>
      </c>
      <c r="BH45" s="973" t="s">
        <v>1647</v>
      </c>
      <c r="BJ45" s="1121" t="s">
        <v>937</v>
      </c>
      <c r="BL45" s="1121" t="s">
        <v>937</v>
      </c>
      <c r="BN45" s="973" t="s">
        <v>1648</v>
      </c>
    </row>
    <row r="46" spans="1:66" ht="11.25" customHeight="1">
      <c r="A46" s="979" t="s">
        <v>1649</v>
      </c>
      <c r="E46" s="341" t="s">
        <v>22</v>
      </c>
      <c r="F46" s="1017" t="s">
        <v>1650</v>
      </c>
      <c r="G46" s="1019"/>
      <c r="H46" s="1019"/>
      <c r="I46" s="1651" t="b">
        <f>IF(TITLE_DATE_FIL="",TRUE,FALSE)</f>
        <v>1</v>
      </c>
      <c r="J46" s="1654" t="str">
        <f>"Общая информация о регулируемой организации ("&amp;TEMPLATE_SPHERE_RUS&amp;")"</f>
        <v>Общая информация о регулируемой организации (холодного водоснабжения)</v>
      </c>
      <c r="K46" s="1655"/>
      <c r="AX46" s="1023" t="s">
        <v>1651</v>
      </c>
      <c r="AZ46" s="1023" t="s">
        <v>1339</v>
      </c>
      <c r="BE46" s="1023">
        <v>2044</v>
      </c>
      <c r="BH46" s="973" t="s">
        <v>946</v>
      </c>
      <c r="BJ46" s="1121" t="s">
        <v>927</v>
      </c>
      <c r="BL46" s="1121" t="s">
        <v>927</v>
      </c>
      <c r="BN46" s="973" t="s">
        <v>1652</v>
      </c>
    </row>
    <row r="47" spans="1:66" ht="11.25" customHeight="1">
      <c r="A47" s="979" t="s">
        <v>1653</v>
      </c>
      <c r="E47" s="341" t="s">
        <v>29</v>
      </c>
      <c r="F47" s="1018" t="s">
        <v>1654</v>
      </c>
      <c r="G47" s="1020" t="str">
        <f>IF(f_year="","",IF(LEN(f_quart)=0,"",IF(f_quart="I квартал","01.01."&amp;f_year,IF(f_quart="II квартал","01.04."&amp;f_year,(IF(f_quart="III квартал","01.07."&amp;f_year,"01.10."&amp;f_year))))))</f>
        <v/>
      </c>
      <c r="H47" s="1020" t="str">
        <f>IF(f_year="","",IF(LEN(f_quart)=0,"",IF(f_quart="I квартал","31.03."&amp;f_year,IF(f_quart="II квартал","30.06."&amp;f_year,(IF(f_quart="III квартал","30.09."&amp;f_year,"31.12."&amp;f_year))))))</f>
        <v/>
      </c>
      <c r="I47" s="1652" t="b">
        <f>IF(OR(f_year="",f_quart=""),TRUE,FALSE)</f>
        <v>1</v>
      </c>
      <c r="J47" s="16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55"/>
      <c r="AX47" s="1023" t="s">
        <v>1655</v>
      </c>
      <c r="AZ47" s="1023" t="s">
        <v>1358</v>
      </c>
      <c r="BE47" s="1023">
        <v>2045</v>
      </c>
      <c r="BH47" s="973" t="s">
        <v>1628</v>
      </c>
      <c r="BJ47" s="1121" t="s">
        <v>929</v>
      </c>
      <c r="BL47" s="1121" t="s">
        <v>929</v>
      </c>
      <c r="BN47" s="973" t="s">
        <v>1656</v>
      </c>
    </row>
    <row r="48" spans="1:66" ht="11.25" customHeight="1">
      <c r="A48" s="979" t="s">
        <v>1657</v>
      </c>
      <c r="E48" s="341" t="s">
        <v>1658</v>
      </c>
      <c r="F48" s="1018" t="s">
        <v>1659</v>
      </c>
      <c r="G48" s="1020" t="str">
        <f>IF(f_year="","","01.01."&amp;f_year)</f>
        <v/>
      </c>
      <c r="H48" s="1020" t="str">
        <f>IF(f_year="","","31.12."&amp;f_year)</f>
        <v/>
      </c>
      <c r="I48" s="1651" t="b">
        <f>IF(f_year="",TRUE,FALSE)</f>
        <v>1</v>
      </c>
      <c r="J48" s="1654" t="s">
        <v>1660</v>
      </c>
      <c r="K48" s="1655"/>
      <c r="AX48" s="1023" t="s">
        <v>1661</v>
      </c>
      <c r="AZ48" s="1023" t="s">
        <v>1374</v>
      </c>
      <c r="BE48" s="1023">
        <v>2046</v>
      </c>
      <c r="BH48" s="973" t="s">
        <v>1632</v>
      </c>
      <c r="BJ48" s="1121" t="s">
        <v>931</v>
      </c>
      <c r="BL48" s="1121" t="s">
        <v>931</v>
      </c>
      <c r="BN48" s="973" t="s">
        <v>1662</v>
      </c>
    </row>
    <row r="49" spans="1:64" ht="11.25" customHeight="1">
      <c r="A49" s="979" t="s">
        <v>1663</v>
      </c>
      <c r="E49" s="341" t="s">
        <v>1664</v>
      </c>
      <c r="F49" s="1018" t="s">
        <v>1665</v>
      </c>
      <c r="G49" s="1020" t="str">
        <f>IF(f_year="","","01.01."&amp;f_year)</f>
        <v/>
      </c>
      <c r="H49" s="1020" t="str">
        <f>IF(f_year="","","31.12."&amp;f_year)</f>
        <v/>
      </c>
      <c r="I49" s="1651" t="b">
        <f>IF(f_year="",TRUE,FALSE)</f>
        <v>1</v>
      </c>
      <c r="J49" s="16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55"/>
      <c r="AX49" s="1023" t="s">
        <v>1666</v>
      </c>
      <c r="AZ49" s="1023" t="s">
        <v>1390</v>
      </c>
      <c r="BE49" s="1023">
        <v>2047</v>
      </c>
      <c r="BH49" s="973" t="s">
        <v>947</v>
      </c>
      <c r="BJ49" s="1121" t="s">
        <v>933</v>
      </c>
      <c r="BL49" s="1121" t="s">
        <v>933</v>
      </c>
    </row>
    <row r="50" spans="1:64" ht="11.25" customHeight="1">
      <c r="A50" s="979" t="s">
        <v>1667</v>
      </c>
      <c r="E50" s="341" t="s">
        <v>1668</v>
      </c>
      <c r="F50" s="1018" t="s">
        <v>917</v>
      </c>
      <c r="G50" s="1020" t="str">
        <f>IF(f_year="","","01.01."&amp;f_year)</f>
        <v/>
      </c>
      <c r="H50" s="1020" t="str">
        <f>IF(f_year="","","31.12."&amp;f_year)</f>
        <v/>
      </c>
      <c r="I50" s="1651" t="b">
        <f>IF(f_year="",TRUE,FALSE)</f>
        <v>1</v>
      </c>
      <c r="J50" s="16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55"/>
      <c r="AX50" s="1023" t="s">
        <v>1669</v>
      </c>
      <c r="AZ50" s="1023" t="s">
        <v>1406</v>
      </c>
      <c r="BE50" s="1023">
        <v>2048</v>
      </c>
      <c r="BH50" s="973" t="s">
        <v>1639</v>
      </c>
      <c r="BJ50" s="1121" t="s">
        <v>935</v>
      </c>
      <c r="BL50" s="1121" t="s">
        <v>935</v>
      </c>
    </row>
    <row r="51" spans="1:64" ht="11.25" customHeight="1">
      <c r="A51" s="979" t="s">
        <v>1670</v>
      </c>
      <c r="E51" s="341" t="s">
        <v>1671</v>
      </c>
      <c r="F51" s="1018" t="s">
        <v>1672</v>
      </c>
      <c r="G51" s="1020">
        <f>IF(TITLE_PERIOD_START="","",TITLE_PERIOD_START)</f>
        <v>44927.675127314818</v>
      </c>
      <c r="H51" s="1020">
        <f>IF(TITLE_PERIOD_END="","",TITLE_PERIOD_END)</f>
        <v>46752.675324074073</v>
      </c>
      <c r="I51" s="1652" t="b">
        <f>IF(OR(TITLE_PERIOD_START="",TITLE_PERIOD_END=""),TRUE,FALSE)</f>
        <v>0</v>
      </c>
      <c r="J51" s="16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55"/>
      <c r="AX51" s="1023" t="s">
        <v>1673</v>
      </c>
      <c r="AZ51" s="1023" t="s">
        <v>1422</v>
      </c>
      <c r="BE51" s="1023">
        <v>2049</v>
      </c>
      <c r="BH51" s="973" t="s">
        <v>1648</v>
      </c>
      <c r="BJ51" s="1121" t="s">
        <v>1674</v>
      </c>
      <c r="BL51" s="1121" t="s">
        <v>1674</v>
      </c>
    </row>
    <row r="52" spans="1:64" ht="11.25" customHeight="1">
      <c r="A52" s="979" t="s">
        <v>1675</v>
      </c>
      <c r="E52" s="341" t="s">
        <v>1676</v>
      </c>
      <c r="F52" s="1018" t="s">
        <v>1642</v>
      </c>
      <c r="G52" s="1020">
        <f>IF(TITLE_PERIOD_START="","",TITLE_PERIOD_START)</f>
        <v>44927.675127314818</v>
      </c>
      <c r="H52" s="1020">
        <f>IF(TITLE_PERIOD_END="","",TITLE_PERIOD_END)</f>
        <v>46752.675324074073</v>
      </c>
      <c r="I52" s="1652" t="b">
        <f>IF(OR(TITLE_PERIOD_START="",TITLE_PERIOD_END=""),TRUE,FALSE)</f>
        <v>0</v>
      </c>
      <c r="J52" s="1654"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55"/>
      <c r="AX52" s="1023" t="s">
        <v>1677</v>
      </c>
      <c r="AZ52" s="1023" t="s">
        <v>1221</v>
      </c>
      <c r="BE52" s="1023">
        <v>2050</v>
      </c>
      <c r="BH52" s="973" t="s">
        <v>1652</v>
      </c>
      <c r="BJ52" s="1121" t="s">
        <v>946</v>
      </c>
      <c r="BL52" s="1121" t="s">
        <v>946</v>
      </c>
    </row>
    <row r="53" spans="1:64" ht="11.25" customHeight="1">
      <c r="A53" s="979" t="s">
        <v>1678</v>
      </c>
      <c r="E53" s="341" t="s">
        <v>1679</v>
      </c>
      <c r="F53" s="1018" t="s">
        <v>1679</v>
      </c>
      <c r="G53" s="1020" t="str">
        <f>IF(f_year="","","01.01."&amp;f_year)</f>
        <v/>
      </c>
      <c r="H53" s="1020" t="str">
        <f>IF(f_year="","","31.12."&amp;f_year)</f>
        <v/>
      </c>
      <c r="I53" s="1651" t="b">
        <f>IF(AND(f_year="",TITLE_DATE_FIL=""),TRUE,FALSE)</f>
        <v>1</v>
      </c>
      <c r="J53" s="1654" t="s">
        <v>1680</v>
      </c>
      <c r="K53" s="1655"/>
      <c r="AX53" s="1023" t="s">
        <v>1681</v>
      </c>
      <c r="BE53" s="1023">
        <v>2051</v>
      </c>
      <c r="BH53" s="973" t="s">
        <v>1656</v>
      </c>
      <c r="BJ53" s="1121" t="s">
        <v>1628</v>
      </c>
      <c r="BL53" s="1121" t="s">
        <v>1628</v>
      </c>
    </row>
    <row r="54" spans="1:64" ht="11.25" customHeight="1">
      <c r="A54" s="979" t="s">
        <v>1682</v>
      </c>
      <c r="AX54" s="1023" t="s">
        <v>1683</v>
      </c>
      <c r="AZ54" s="972" t="s">
        <v>1684</v>
      </c>
      <c r="BE54" s="1023">
        <v>2052</v>
      </c>
      <c r="BH54" s="973" t="s">
        <v>1662</v>
      </c>
      <c r="BJ54" s="1121" t="s">
        <v>1632</v>
      </c>
      <c r="BL54" s="1121" t="s">
        <v>1632</v>
      </c>
    </row>
    <row r="55" spans="1:64" ht="11.25" customHeight="1">
      <c r="A55" s="979" t="s">
        <v>1685</v>
      </c>
      <c r="AX55" s="1023" t="s">
        <v>1686</v>
      </c>
      <c r="AZ55" s="1023" t="s">
        <v>1223</v>
      </c>
      <c r="BE55" s="1023">
        <v>2053</v>
      </c>
      <c r="BH55" s="975" t="s">
        <v>24</v>
      </c>
      <c r="BJ55" s="1121" t="s">
        <v>947</v>
      </c>
      <c r="BL55" s="1121" t="s">
        <v>947</v>
      </c>
    </row>
    <row r="56" spans="1:64" ht="11.25" customHeight="1">
      <c r="A56" s="979" t="s">
        <v>1687</v>
      </c>
      <c r="D56" s="1022" t="s">
        <v>1688</v>
      </c>
      <c r="E56" s="999">
        <v>55</v>
      </c>
      <c r="F56" s="979" t="s">
        <v>1689</v>
      </c>
      <c r="AX56" s="1023" t="s">
        <v>1690</v>
      </c>
      <c r="AZ56" s="1023" t="s">
        <v>1250</v>
      </c>
      <c r="BE56" s="1023">
        <v>2054</v>
      </c>
      <c r="BH56" s="975" t="s">
        <v>24</v>
      </c>
      <c r="BJ56" s="1121" t="s">
        <v>1639</v>
      </c>
      <c r="BL56" s="1121" t="s">
        <v>1639</v>
      </c>
    </row>
    <row r="57" spans="1:64" ht="11.25" customHeight="1">
      <c r="A57" s="979" t="s">
        <v>1691</v>
      </c>
      <c r="D57" s="1022" t="s">
        <v>1692</v>
      </c>
      <c r="E57" s="999">
        <v>66</v>
      </c>
      <c r="F57" s="979" t="s">
        <v>1689</v>
      </c>
      <c r="AX57" s="1023" t="s">
        <v>1693</v>
      </c>
      <c r="AZ57" s="1023" t="s">
        <v>1285</v>
      </c>
      <c r="BE57" s="1023">
        <v>2055</v>
      </c>
      <c r="BJ57" s="1121" t="s">
        <v>1648</v>
      </c>
      <c r="BL57" s="1121" t="s">
        <v>1648</v>
      </c>
    </row>
    <row r="58" spans="1:64" ht="11.25" customHeight="1">
      <c r="A58" s="979" t="s">
        <v>1694</v>
      </c>
      <c r="D58" s="1022" t="s">
        <v>1695</v>
      </c>
      <c r="E58" s="999">
        <v>44</v>
      </c>
      <c r="F58" s="979" t="s">
        <v>1689</v>
      </c>
      <c r="AX58" s="1023" t="s">
        <v>1696</v>
      </c>
      <c r="BE58" s="1023">
        <v>2056</v>
      </c>
      <c r="BJ58" s="1121" t="s">
        <v>1652</v>
      </c>
      <c r="BL58" s="1121" t="s">
        <v>1652</v>
      </c>
    </row>
    <row r="59" spans="1:64" ht="11.25" customHeight="1">
      <c r="A59" s="979" t="s">
        <v>1697</v>
      </c>
      <c r="D59" s="1022" t="s">
        <v>130</v>
      </c>
      <c r="E59" s="999" t="s">
        <v>1519</v>
      </c>
      <c r="F59" s="979" t="s">
        <v>1698</v>
      </c>
      <c r="AX59" s="1023" t="s">
        <v>1699</v>
      </c>
      <c r="AZ59" s="972" t="s">
        <v>1700</v>
      </c>
      <c r="BE59" s="1023">
        <v>2057</v>
      </c>
      <c r="BJ59" s="1121" t="s">
        <v>1656</v>
      </c>
      <c r="BL59" s="1121" t="s">
        <v>1656</v>
      </c>
    </row>
    <row r="60" spans="1:64" ht="11.25" customHeight="1">
      <c r="A60" s="979" t="s">
        <v>1701</v>
      </c>
      <c r="D60" s="1022" t="s">
        <v>1702</v>
      </c>
      <c r="E60" s="999" t="s">
        <v>1519</v>
      </c>
      <c r="F60" s="979" t="s">
        <v>1698</v>
      </c>
      <c r="AX60" s="1023" t="s">
        <v>1703</v>
      </c>
      <c r="AZ60" s="1023" t="s">
        <v>1224</v>
      </c>
      <c r="BE60" s="1023">
        <v>2058</v>
      </c>
      <c r="BJ60" s="1121" t="s">
        <v>1662</v>
      </c>
      <c r="BL60" s="1121" t="s">
        <v>1662</v>
      </c>
    </row>
    <row r="61" spans="1:64" ht="11.25" customHeight="1">
      <c r="A61" s="979" t="s">
        <v>1704</v>
      </c>
      <c r="D61" s="1022" t="s">
        <v>1705</v>
      </c>
      <c r="E61" s="999">
        <v>26</v>
      </c>
      <c r="F61" s="979" t="s">
        <v>1698</v>
      </c>
      <c r="AX61" s="1023" t="s">
        <v>1706</v>
      </c>
      <c r="AZ61" s="1023" t="s">
        <v>1251</v>
      </c>
      <c r="BE61" s="1023">
        <v>2059</v>
      </c>
      <c r="BL61" s="1121" t="s">
        <v>939</v>
      </c>
    </row>
    <row r="62" spans="1:64" ht="11.25" customHeight="1">
      <c r="A62" s="979" t="s">
        <v>1707</v>
      </c>
      <c r="D62" s="1022" t="s">
        <v>129</v>
      </c>
      <c r="E62" s="999">
        <v>30</v>
      </c>
      <c r="F62" s="979" t="s">
        <v>1698</v>
      </c>
      <c r="AZ62" s="1023" t="s">
        <v>1286</v>
      </c>
      <c r="BE62" s="1023">
        <v>2060</v>
      </c>
      <c r="BL62" s="1121" t="s">
        <v>941</v>
      </c>
    </row>
    <row r="63" spans="1:64" ht="11.25" customHeight="1">
      <c r="A63" s="979" t="s">
        <v>1708</v>
      </c>
      <c r="D63" s="1022" t="s">
        <v>1709</v>
      </c>
      <c r="E63" s="999">
        <v>30</v>
      </c>
      <c r="F63" s="979" t="s">
        <v>1698</v>
      </c>
      <c r="AZ63" s="1023" t="s">
        <v>1317</v>
      </c>
      <c r="BE63" s="1023">
        <v>2061</v>
      </c>
    </row>
    <row r="64" spans="1:64" ht="11.25" customHeight="1">
      <c r="A64" s="979" t="s">
        <v>1710</v>
      </c>
      <c r="D64" s="1022" t="s">
        <v>1711</v>
      </c>
      <c r="E64" s="999">
        <v>30</v>
      </c>
      <c r="F64" s="979" t="s">
        <v>1698</v>
      </c>
      <c r="AZ64" s="1023" t="s">
        <v>1340</v>
      </c>
      <c r="BE64" s="1023">
        <v>2062</v>
      </c>
    </row>
    <row r="65" spans="1:66" ht="11.25" customHeight="1">
      <c r="A65" s="979" t="s">
        <v>1712</v>
      </c>
      <c r="D65" s="979"/>
      <c r="BE65" s="1023">
        <v>2063</v>
      </c>
    </row>
    <row r="66" spans="1:66" ht="11.25" customHeight="1">
      <c r="A66" s="979" t="s">
        <v>1713</v>
      </c>
      <c r="AZ66" s="972" t="s">
        <v>1714</v>
      </c>
      <c r="BE66" s="1023">
        <v>2064</v>
      </c>
    </row>
    <row r="67" spans="1:66" ht="11.25" customHeight="1">
      <c r="A67" s="979" t="s">
        <v>1715</v>
      </c>
      <c r="AZ67" s="1023" t="s">
        <v>1225</v>
      </c>
      <c r="BE67" s="1023">
        <v>2065</v>
      </c>
    </row>
    <row r="68" spans="1:66" ht="11.25" customHeight="1">
      <c r="A68" s="979" t="s">
        <v>1716</v>
      </c>
      <c r="AZ68" s="1023" t="s">
        <v>1252</v>
      </c>
      <c r="BE68" s="1023">
        <v>2066</v>
      </c>
      <c r="BH68" s="972" t="s">
        <v>1717</v>
      </c>
      <c r="BJ68" s="972" t="s">
        <v>1718</v>
      </c>
      <c r="BL68" s="972" t="s">
        <v>1719</v>
      </c>
      <c r="BN68" s="972" t="s">
        <v>1720</v>
      </c>
    </row>
    <row r="69" spans="1:66" ht="11.25" customHeight="1">
      <c r="A69" s="979" t="s">
        <v>1721</v>
      </c>
      <c r="AZ69" s="1023" t="s">
        <v>1287</v>
      </c>
      <c r="BE69" s="1023">
        <v>2067</v>
      </c>
      <c r="BH69" s="973" t="s">
        <v>1722</v>
      </c>
      <c r="BI69" s="1021" t="s">
        <v>108</v>
      </c>
      <c r="BJ69" s="973" t="s">
        <v>1723</v>
      </c>
      <c r="BK69" s="1021" t="s">
        <v>108</v>
      </c>
      <c r="BL69" s="973" t="s">
        <v>1724</v>
      </c>
      <c r="BN69" s="973" t="s">
        <v>1725</v>
      </c>
    </row>
    <row r="70" spans="1:66" ht="11.25" customHeight="1">
      <c r="A70" s="979" t="s">
        <v>1726</v>
      </c>
      <c r="AZ70" s="1023" t="s">
        <v>1318</v>
      </c>
      <c r="BE70" s="1023">
        <v>2068</v>
      </c>
      <c r="BH70" s="973" t="s">
        <v>1727</v>
      </c>
      <c r="BJ70" s="973" t="s">
        <v>1728</v>
      </c>
      <c r="BL70" s="973" t="s">
        <v>1729</v>
      </c>
      <c r="BN70" s="973" t="s">
        <v>1730</v>
      </c>
    </row>
    <row r="71" spans="1:66" ht="11.25" customHeight="1">
      <c r="A71" s="979" t="s">
        <v>1731</v>
      </c>
      <c r="AZ71" s="1023" t="s">
        <v>1320</v>
      </c>
      <c r="BE71" s="1023">
        <v>2069</v>
      </c>
      <c r="BH71" s="973" t="s">
        <v>1732</v>
      </c>
      <c r="BI71" s="1021" t="s">
        <v>89</v>
      </c>
      <c r="BJ71" s="973" t="s">
        <v>1733</v>
      </c>
      <c r="BK71" s="1021" t="s">
        <v>89</v>
      </c>
      <c r="BL71" s="973" t="s">
        <v>1734</v>
      </c>
      <c r="BN71" s="973" t="s">
        <v>1735</v>
      </c>
    </row>
    <row r="72" spans="1:66" ht="11.25" customHeight="1">
      <c r="A72" s="979" t="s">
        <v>1736</v>
      </c>
      <c r="AZ72" s="1023" t="s">
        <v>56</v>
      </c>
      <c r="BE72" s="1023">
        <v>2070</v>
      </c>
      <c r="BH72" s="973" t="s">
        <v>1737</v>
      </c>
      <c r="BJ72" s="973" t="s">
        <v>1737</v>
      </c>
      <c r="BL72" s="973" t="s">
        <v>1737</v>
      </c>
      <c r="BN72" s="973" t="s">
        <v>1738</v>
      </c>
    </row>
    <row r="73" spans="1:66" ht="11.25" customHeight="1">
      <c r="A73" s="979" t="s">
        <v>1739</v>
      </c>
      <c r="BH73" s="973" t="s">
        <v>1740</v>
      </c>
      <c r="BI73" s="1021" t="s">
        <v>110</v>
      </c>
      <c r="BJ73" s="973" t="s">
        <v>1741</v>
      </c>
      <c r="BK73" s="1021" t="s">
        <v>110</v>
      </c>
      <c r="BL73" s="973" t="s">
        <v>1742</v>
      </c>
      <c r="BN73" s="973" t="s">
        <v>1743</v>
      </c>
    </row>
    <row r="74" spans="1:66" ht="11.25" customHeight="1">
      <c r="A74" s="979" t="s">
        <v>1744</v>
      </c>
      <c r="BH74" s="973" t="s">
        <v>1745</v>
      </c>
      <c r="BJ74" s="973" t="s">
        <v>1746</v>
      </c>
      <c r="BL74" s="973" t="s">
        <v>1747</v>
      </c>
      <c r="BN74" s="973" t="s">
        <v>1748</v>
      </c>
    </row>
    <row r="75" spans="1:66" ht="11.25" customHeight="1">
      <c r="A75" s="979" t="s">
        <v>1749</v>
      </c>
      <c r="AZ75" s="972" t="s">
        <v>1750</v>
      </c>
      <c r="BH75" s="973" t="s">
        <v>1751</v>
      </c>
      <c r="BJ75" s="973" t="s">
        <v>1751</v>
      </c>
      <c r="BL75" s="973" t="s">
        <v>1751</v>
      </c>
    </row>
    <row r="76" spans="1:66" ht="11.25" customHeight="1">
      <c r="A76" s="979" t="s">
        <v>1752</v>
      </c>
      <c r="AZ76" s="1023" t="s">
        <v>1234</v>
      </c>
      <c r="BH76" s="973" t="s">
        <v>1753</v>
      </c>
      <c r="BJ76" s="973" t="s">
        <v>1754</v>
      </c>
      <c r="BL76" s="973" t="s">
        <v>1755</v>
      </c>
    </row>
    <row r="77" spans="1:66" ht="11.25" customHeight="1">
      <c r="A77" s="979" t="s">
        <v>1756</v>
      </c>
      <c r="AZ77" s="1023" t="s">
        <v>1262</v>
      </c>
    </row>
    <row r="78" spans="1:66" ht="11.25" customHeight="1">
      <c r="A78" s="979" t="s">
        <v>1757</v>
      </c>
      <c r="AZ78" s="1023" t="s">
        <v>1294</v>
      </c>
    </row>
    <row r="79" spans="1:66" ht="11.25" customHeight="1">
      <c r="A79" s="979" t="s">
        <v>1758</v>
      </c>
      <c r="AZ79" s="1023" t="s">
        <v>1324</v>
      </c>
      <c r="BH79" s="972" t="s">
        <v>1759</v>
      </c>
      <c r="BJ79" s="972" t="s">
        <v>1760</v>
      </c>
      <c r="BL79" s="972" t="s">
        <v>1761</v>
      </c>
    </row>
    <row r="80" spans="1:66" ht="11.25" customHeight="1">
      <c r="A80" s="979" t="s">
        <v>1762</v>
      </c>
      <c r="AZ80" s="1023" t="s">
        <v>1345</v>
      </c>
      <c r="BH80" s="973" t="s">
        <v>1763</v>
      </c>
      <c r="BJ80" s="973" t="s">
        <v>1764</v>
      </c>
      <c r="BL80" s="973" t="s">
        <v>1765</v>
      </c>
    </row>
    <row r="81" spans="1:66" ht="11.25" customHeight="1">
      <c r="A81" s="979" t="s">
        <v>1766</v>
      </c>
      <c r="AZ81" s="1023" t="s">
        <v>1362</v>
      </c>
      <c r="BH81" s="973" t="s">
        <v>1767</v>
      </c>
      <c r="BJ81" s="973" t="s">
        <v>1768</v>
      </c>
      <c r="BL81" s="973" t="s">
        <v>1769</v>
      </c>
    </row>
    <row r="82" spans="1:66" ht="11.25" customHeight="1">
      <c r="A82" s="979" t="s">
        <v>1770</v>
      </c>
      <c r="AZ82" s="1023" t="s">
        <v>1376</v>
      </c>
      <c r="BH82" s="973" t="s">
        <v>1771</v>
      </c>
      <c r="BJ82" s="973" t="s">
        <v>1772</v>
      </c>
      <c r="BL82" s="973" t="s">
        <v>1773</v>
      </c>
    </row>
    <row r="83" spans="1:66" ht="11.25" customHeight="1">
      <c r="A83" s="979" t="s">
        <v>1774</v>
      </c>
      <c r="BH83" s="973" t="s">
        <v>1775</v>
      </c>
      <c r="BJ83" s="973" t="s">
        <v>1776</v>
      </c>
      <c r="BL83" s="973" t="s">
        <v>1777</v>
      </c>
    </row>
    <row r="84" spans="1:66" ht="11.25" customHeight="1">
      <c r="A84" s="979" t="s">
        <v>1778</v>
      </c>
      <c r="AZ84" s="972" t="s">
        <v>1779</v>
      </c>
    </row>
    <row r="85" spans="1:66" ht="11.25" customHeight="1">
      <c r="A85" s="1780" t="s">
        <v>1780</v>
      </c>
      <c r="AZ85" s="1023" t="s">
        <v>1781</v>
      </c>
    </row>
    <row r="86" spans="1:66" ht="11.25" customHeight="1">
      <c r="A86" s="979" t="s">
        <v>1782</v>
      </c>
      <c r="AZ86" s="1023" t="s">
        <v>1783</v>
      </c>
      <c r="BH86" s="972" t="s">
        <v>1784</v>
      </c>
      <c r="BJ86" s="972" t="s">
        <v>1785</v>
      </c>
      <c r="BL86" s="972" t="s">
        <v>1786</v>
      </c>
    </row>
    <row r="87" spans="1:66" ht="11.25" customHeight="1">
      <c r="A87" s="979" t="s">
        <v>1787</v>
      </c>
      <c r="AZ87" s="1023" t="s">
        <v>1788</v>
      </c>
      <c r="BH87" s="973" t="s">
        <v>1789</v>
      </c>
      <c r="BJ87" s="973" t="s">
        <v>1790</v>
      </c>
      <c r="BL87" s="973" t="s">
        <v>1791</v>
      </c>
    </row>
    <row r="88" spans="1:66" ht="11.25" customHeight="1">
      <c r="A88" s="979" t="s">
        <v>1792</v>
      </c>
      <c r="AZ88" s="1523"/>
      <c r="BH88" s="973" t="s">
        <v>1793</v>
      </c>
      <c r="BJ88" s="973" t="s">
        <v>1794</v>
      </c>
      <c r="BL88" s="973" t="s">
        <v>1795</v>
      </c>
    </row>
    <row r="89" spans="1:66" ht="11.25" customHeight="1">
      <c r="A89" s="979" t="s">
        <v>1796</v>
      </c>
      <c r="AZ89" s="972" t="s">
        <v>1797</v>
      </c>
    </row>
    <row r="90" spans="1:66" ht="11.25" customHeight="1">
      <c r="A90" s="979" t="s">
        <v>1798</v>
      </c>
      <c r="AZ90" s="1023" t="s">
        <v>917</v>
      </c>
    </row>
    <row r="91" spans="1:66" ht="11.25" customHeight="1">
      <c r="A91" s="979" t="s">
        <v>1799</v>
      </c>
      <c r="AZ91" s="1023" t="s">
        <v>953</v>
      </c>
      <c r="BH91" s="972" t="s">
        <v>1800</v>
      </c>
      <c r="BJ91" s="972" t="s">
        <v>1801</v>
      </c>
      <c r="BL91" s="972" t="s">
        <v>1802</v>
      </c>
    </row>
    <row r="92" spans="1:66" ht="11.25" customHeight="1">
      <c r="AZ92" s="1023" t="s">
        <v>1803</v>
      </c>
      <c r="BH92" s="973" t="s">
        <v>1804</v>
      </c>
      <c r="BJ92" s="973" t="s">
        <v>1805</v>
      </c>
      <c r="BL92" s="973" t="s">
        <v>1806</v>
      </c>
    </row>
    <row r="93" spans="1:66" ht="11.25" customHeight="1">
      <c r="AZ93" s="1023" t="s">
        <v>1807</v>
      </c>
      <c r="BH93" s="973" t="s">
        <v>1808</v>
      </c>
      <c r="BJ93" s="973" t="s">
        <v>1809</v>
      </c>
      <c r="BL93" s="973" t="s">
        <v>1810</v>
      </c>
    </row>
    <row r="94" spans="1:66" ht="11.25" customHeight="1">
      <c r="AZ94" s="1023" t="s">
        <v>1811</v>
      </c>
    </row>
    <row r="96" spans="1:66" ht="11.25" customHeight="1">
      <c r="AZ96" s="972" t="s">
        <v>1812</v>
      </c>
      <c r="BH96" s="972" t="s">
        <v>1813</v>
      </c>
      <c r="BJ96" s="972" t="s">
        <v>1814</v>
      </c>
      <c r="BL96" s="972" t="s">
        <v>1815</v>
      </c>
      <c r="BN96" s="972" t="s">
        <v>1816</v>
      </c>
    </row>
    <row r="97" spans="52:66" ht="11.25" customHeight="1">
      <c r="AZ97" s="1023" t="s">
        <v>1817</v>
      </c>
      <c r="BH97" s="973" t="s">
        <v>1818</v>
      </c>
      <c r="BJ97" s="973" t="s">
        <v>1819</v>
      </c>
      <c r="BL97" s="973" t="s">
        <v>1820</v>
      </c>
      <c r="BN97" s="973" t="s">
        <v>1821</v>
      </c>
    </row>
    <row r="98" spans="52:66" ht="11.25" customHeight="1">
      <c r="AZ98" s="1023" t="s">
        <v>1822</v>
      </c>
      <c r="BH98" s="973" t="s">
        <v>1823</v>
      </c>
      <c r="BJ98" s="973" t="s">
        <v>1824</v>
      </c>
      <c r="BL98" s="973" t="s">
        <v>1825</v>
      </c>
      <c r="BN98" s="973" t="s">
        <v>1826</v>
      </c>
    </row>
    <row r="99" spans="52:66" ht="11.25" customHeight="1">
      <c r="AZ99" s="1023" t="s">
        <v>1827</v>
      </c>
      <c r="BH99" s="973" t="s">
        <v>1828</v>
      </c>
      <c r="BJ99" s="973" t="s">
        <v>1829</v>
      </c>
      <c r="BL99" s="973" t="s">
        <v>1830</v>
      </c>
      <c r="BN99" s="973" t="s">
        <v>1831</v>
      </c>
    </row>
    <row r="100" spans="52:66" ht="11.25" customHeight="1">
      <c r="BJ100" s="973" t="s">
        <v>1422</v>
      </c>
      <c r="BL100" s="973" t="s">
        <v>1422</v>
      </c>
      <c r="BN100" s="973" t="s">
        <v>1832</v>
      </c>
    </row>
    <row r="101" spans="52:66" ht="11.25" customHeight="1">
      <c r="AZ101" s="1603" t="s">
        <v>1833</v>
      </c>
      <c r="BN101" s="973" t="s">
        <v>1834</v>
      </c>
    </row>
    <row r="102" spans="52:66" ht="11.25" customHeight="1">
      <c r="AZ102" s="1023" t="s">
        <v>1835</v>
      </c>
      <c r="BN102" s="973" t="s">
        <v>1836</v>
      </c>
    </row>
    <row r="103" spans="52:66" ht="11.25" customHeight="1">
      <c r="AZ103" s="1023" t="s">
        <v>1837</v>
      </c>
      <c r="BN103" s="973" t="s">
        <v>1838</v>
      </c>
    </row>
    <row r="104" spans="52:66" ht="11.25" customHeight="1">
      <c r="AZ104" s="1023" t="s">
        <v>555</v>
      </c>
      <c r="BN104" s="973" t="s">
        <v>1839</v>
      </c>
    </row>
    <row r="107" spans="52:66" ht="11.25" customHeight="1">
      <c r="BH107" s="972" t="s">
        <v>1840</v>
      </c>
      <c r="BJ107" s="972" t="s">
        <v>1841</v>
      </c>
      <c r="BL107" s="972" t="s">
        <v>1842</v>
      </c>
      <c r="BN107" s="972" t="s">
        <v>1843</v>
      </c>
    </row>
    <row r="108" spans="52:66" ht="11.25" customHeight="1">
      <c r="BH108" s="973" t="s">
        <v>1844</v>
      </c>
      <c r="BJ108" s="973" t="s">
        <v>1845</v>
      </c>
      <c r="BL108" s="973" t="s">
        <v>1507</v>
      </c>
      <c r="BN108" s="973" t="s">
        <v>1846</v>
      </c>
    </row>
    <row r="109" spans="52:66" ht="11.25" customHeight="1">
      <c r="BH109" s="973" t="s">
        <v>1847</v>
      </c>
    </row>
    <row r="110" spans="52:66" ht="11.25" customHeight="1">
      <c r="BH110" s="973" t="s">
        <v>1847</v>
      </c>
    </row>
    <row r="114" spans="60:60" ht="11.25" customHeight="1">
      <c r="BH114" s="972" t="s">
        <v>1848</v>
      </c>
    </row>
    <row r="115" spans="60:60" ht="11.25" customHeight="1">
      <c r="BH115" s="973" t="s">
        <v>1221</v>
      </c>
    </row>
    <row r="116" spans="60:60" ht="11.25" customHeight="1">
      <c r="BH116" s="973" t="s">
        <v>1248</v>
      </c>
    </row>
    <row r="117" spans="60:60" ht="11.25" customHeight="1">
      <c r="BH117" s="973" t="s">
        <v>1283</v>
      </c>
    </row>
    <row r="118" spans="60:60" ht="11.25" customHeight="1">
      <c r="BH118" s="973" t="s">
        <v>1316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2968A-FDFA-5C23-2392-141812F6D98E}">
  <sheetPr>
    <tabColor rgb="FFFFCC99"/>
  </sheetPr>
  <dimension ref="A1:H34"/>
  <sheetViews>
    <sheetView showGridLines="0" workbookViewId="0"/>
  </sheetViews>
  <sheetFormatPr defaultColWidth="43.140625" defaultRowHeight="9" customHeight="1"/>
  <cols>
    <col min="1" max="1" width="43.140625" style="2082"/>
    <col min="2" max="2" width="43.140625" style="2082" hidden="1"/>
    <col min="3" max="3" width="43.140625" style="2082"/>
    <col min="4" max="5" width="36.42578125" style="2082" customWidth="1"/>
    <col min="6" max="8" width="36.42578125" style="2083" customWidth="1"/>
  </cols>
  <sheetData>
    <row r="1" spans="1:8" ht="9" customHeight="1">
      <c r="A1" s="760" t="s">
        <v>1849</v>
      </c>
      <c r="B1" s="760"/>
      <c r="C1" s="890" t="s">
        <v>1850</v>
      </c>
      <c r="D1" s="889" t="s">
        <v>706</v>
      </c>
      <c r="E1" s="889" t="s">
        <v>752</v>
      </c>
      <c r="F1" s="889" t="s">
        <v>804</v>
      </c>
      <c r="G1" s="889" t="s">
        <v>790</v>
      </c>
      <c r="H1" s="889" t="s">
        <v>1622</v>
      </c>
    </row>
    <row r="2" spans="1:8" ht="9" customHeight="1">
      <c r="A2" s="891" t="s">
        <v>1851</v>
      </c>
      <c r="B2" s="891"/>
      <c r="C2" s="892" t="str">
        <f>INDEX(TEMPLATE_NUMBER_FORM_LIST,MATCH(TEMPLATE_SPHERE,TEMPLATE_SPHERE_LIST,0))</f>
        <v>10</v>
      </c>
      <c r="D2" s="891" t="s">
        <v>1473</v>
      </c>
      <c r="E2" s="891" t="s">
        <v>148</v>
      </c>
      <c r="F2" s="893" t="s">
        <v>148</v>
      </c>
      <c r="G2" s="891" t="s">
        <v>148</v>
      </c>
      <c r="H2" s="894"/>
    </row>
    <row r="3" spans="1:8" ht="63" customHeight="1">
      <c r="A3" s="760"/>
      <c r="B3" s="760" t="s">
        <v>108</v>
      </c>
      <c r="C3" s="892"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892" t="s">
        <v>1852</v>
      </c>
      <c r="E3" s="8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893"/>
      <c r="G3" s="894"/>
      <c r="H3" s="760"/>
    </row>
    <row r="4" spans="1:8" ht="243" customHeight="1">
      <c r="A4" s="760" t="s">
        <v>1853</v>
      </c>
      <c r="B4" s="760" t="s">
        <v>109</v>
      </c>
      <c r="C4" s="892" t="str">
        <f>IF(TEMPLATE_SPHERE="HEAT",D4,IF(TEMPLATE_SPHERE="TKO",H4,E4))</f>
        <v>Форма 1. Информация об организации, осуществляющей холодное водоснабжение (общая информация)</v>
      </c>
      <c r="D4" s="891" t="s">
        <v>1854</v>
      </c>
      <c r="E4" s="892"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891"/>
      <c r="G4" s="891"/>
      <c r="H4" s="760" t="s">
        <v>1855</v>
      </c>
    </row>
    <row r="5" spans="1:8" ht="117" customHeight="1">
      <c r="A5" s="760" t="s">
        <v>1856</v>
      </c>
      <c r="B5" s="760" t="s">
        <v>89</v>
      </c>
      <c r="C5" s="892"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60" t="s">
        <v>1857</v>
      </c>
      <c r="E5" s="76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894"/>
      <c r="G5" s="894"/>
      <c r="H5" s="760" t="s">
        <v>1858</v>
      </c>
    </row>
    <row r="6" spans="1:8" ht="45" customHeight="1">
      <c r="A6" s="760" t="s">
        <v>1859</v>
      </c>
      <c r="B6" s="760" t="s">
        <v>90</v>
      </c>
      <c r="C6" s="892"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60" t="s">
        <v>1860</v>
      </c>
      <c r="E6" s="76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60"/>
      <c r="G6" s="760"/>
      <c r="H6" s="894"/>
    </row>
    <row r="7" spans="1:8" ht="45" customHeight="1">
      <c r="A7" s="760" t="s">
        <v>1861</v>
      </c>
      <c r="B7" s="760" t="s">
        <v>110</v>
      </c>
      <c r="C7" s="892"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60" t="s">
        <v>1862</v>
      </c>
      <c r="E7" s="760" t="s">
        <v>1863</v>
      </c>
      <c r="F7" s="894"/>
      <c r="G7" s="894"/>
      <c r="H7" s="894"/>
    </row>
    <row r="8" spans="1:8" ht="108" customHeight="1">
      <c r="A8" s="760" t="s">
        <v>1864</v>
      </c>
      <c r="B8" s="760" t="s">
        <v>91</v>
      </c>
      <c r="C8" s="892"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60" t="s">
        <v>1865</v>
      </c>
      <c r="E8" s="760" t="s">
        <v>1866</v>
      </c>
      <c r="F8" s="894"/>
      <c r="G8" s="894"/>
      <c r="H8" s="894"/>
    </row>
    <row r="9" spans="1:8" ht="99" customHeight="1">
      <c r="A9" s="760" t="s">
        <v>1867</v>
      </c>
      <c r="B9" s="760"/>
      <c r="C9" s="760" t="s">
        <v>1868</v>
      </c>
      <c r="D9" s="760"/>
      <c r="E9" s="760"/>
      <c r="F9" s="894"/>
      <c r="G9" s="894"/>
      <c r="H9" s="894"/>
    </row>
    <row r="10" spans="1:8" ht="126" customHeight="1">
      <c r="A10" s="760" t="s">
        <v>1869</v>
      </c>
      <c r="B10" s="760"/>
      <c r="C10" s="760" t="s">
        <v>1870</v>
      </c>
      <c r="D10" s="760"/>
      <c r="E10" s="760"/>
      <c r="F10" s="894"/>
      <c r="G10" s="894"/>
      <c r="H10" s="894"/>
    </row>
    <row r="11" spans="1:8" ht="108" customHeight="1">
      <c r="A11" s="760" t="s">
        <v>1871</v>
      </c>
      <c r="B11" s="760"/>
      <c r="C11" s="760" t="s">
        <v>1872</v>
      </c>
      <c r="D11" s="760"/>
      <c r="E11" s="760"/>
      <c r="F11" s="894"/>
      <c r="G11" s="894"/>
      <c r="H11" s="894"/>
    </row>
    <row r="12" spans="1:8" ht="54" customHeight="1">
      <c r="A12" s="760" t="s">
        <v>1873</v>
      </c>
      <c r="B12" s="760"/>
      <c r="C12" s="760" t="s">
        <v>1874</v>
      </c>
      <c r="D12" s="760"/>
      <c r="E12" s="760"/>
      <c r="F12" s="894"/>
      <c r="G12" s="894"/>
      <c r="H12" s="894"/>
    </row>
    <row r="13" spans="1:8" ht="45" customHeight="1">
      <c r="A13" s="760" t="s">
        <v>1875</v>
      </c>
      <c r="B13" s="760"/>
      <c r="C13" s="760" t="s">
        <v>1876</v>
      </c>
      <c r="D13" s="760"/>
      <c r="E13" s="760"/>
      <c r="F13" s="894"/>
      <c r="G13" s="894"/>
      <c r="H13" s="894"/>
    </row>
    <row r="14" spans="1:8" ht="117" customHeight="1">
      <c r="A14" s="760" t="s">
        <v>1877</v>
      </c>
      <c r="B14" s="760"/>
      <c r="C14" s="760" t="s">
        <v>1878</v>
      </c>
      <c r="D14" s="760"/>
      <c r="E14" s="760"/>
      <c r="F14" s="894"/>
      <c r="G14" s="894"/>
      <c r="H14" s="894"/>
    </row>
    <row r="15" spans="1:8" ht="117" customHeight="1">
      <c r="A15" s="760" t="s">
        <v>1879</v>
      </c>
      <c r="B15" s="760"/>
      <c r="C15" s="760" t="s">
        <v>1880</v>
      </c>
      <c r="D15" s="760"/>
      <c r="E15" s="760"/>
      <c r="F15" s="894"/>
      <c r="G15" s="894"/>
      <c r="H15" s="894"/>
    </row>
    <row r="16" spans="1:8" ht="63" customHeight="1">
      <c r="A16" s="760" t="s">
        <v>1881</v>
      </c>
      <c r="B16" s="760"/>
      <c r="C16" s="760" t="s">
        <v>1882</v>
      </c>
      <c r="D16" s="760"/>
      <c r="E16" s="760"/>
      <c r="F16" s="894"/>
      <c r="G16" s="894"/>
      <c r="H16" s="894"/>
    </row>
    <row r="17" spans="1:8" ht="54" customHeight="1">
      <c r="A17" s="760" t="s">
        <v>1883</v>
      </c>
      <c r="B17" s="760"/>
      <c r="C17" s="892" t="s">
        <v>1884</v>
      </c>
      <c r="D17" s="760"/>
      <c r="E17" s="760"/>
      <c r="F17" s="894"/>
      <c r="G17" s="894"/>
      <c r="H17" s="894"/>
    </row>
    <row r="18" spans="1:8" ht="27" customHeight="1">
      <c r="A18" s="760" t="s">
        <v>1885</v>
      </c>
      <c r="B18" s="760"/>
      <c r="C18" s="892" t="s">
        <v>1886</v>
      </c>
      <c r="D18" s="760"/>
      <c r="E18" s="760"/>
      <c r="F18" s="894"/>
      <c r="G18" s="894"/>
      <c r="H18" s="894"/>
    </row>
    <row r="19" spans="1:8" ht="54" customHeight="1">
      <c r="A19" s="760" t="s">
        <v>1887</v>
      </c>
      <c r="B19" s="760"/>
      <c r="C19" s="892" t="s">
        <v>1888</v>
      </c>
      <c r="D19" s="760"/>
      <c r="E19" s="760"/>
      <c r="F19" s="894"/>
      <c r="G19" s="894"/>
      <c r="H19" s="894"/>
    </row>
    <row r="20" spans="1:8" ht="36" customHeight="1">
      <c r="A20" s="760" t="s">
        <v>1889</v>
      </c>
      <c r="B20" s="760"/>
      <c r="C20" s="892" t="s">
        <v>1890</v>
      </c>
      <c r="D20" s="760"/>
      <c r="E20" s="760"/>
      <c r="F20" s="894"/>
      <c r="G20" s="894"/>
      <c r="H20" s="894"/>
    </row>
    <row r="21" spans="1:8" ht="36" customHeight="1">
      <c r="A21" s="760" t="s">
        <v>1891</v>
      </c>
      <c r="B21" s="760"/>
      <c r="C21" s="892" t="s">
        <v>1892</v>
      </c>
      <c r="D21" s="760"/>
      <c r="E21" s="760"/>
      <c r="F21" s="894"/>
      <c r="G21" s="894"/>
      <c r="H21" s="894"/>
    </row>
    <row r="22" spans="1:8" ht="27" customHeight="1">
      <c r="A22" s="760" t="s">
        <v>1893</v>
      </c>
      <c r="B22" s="760"/>
      <c r="C22" s="892" t="s">
        <v>1894</v>
      </c>
      <c r="D22" s="760"/>
      <c r="E22" s="760"/>
      <c r="F22" s="894"/>
      <c r="G22" s="894"/>
      <c r="H22" s="894"/>
    </row>
    <row r="23" spans="1:8" ht="36" customHeight="1">
      <c r="A23" s="760" t="s">
        <v>1895</v>
      </c>
      <c r="B23" s="760"/>
      <c r="C23" s="892" t="s">
        <v>1896</v>
      </c>
      <c r="D23" s="760"/>
      <c r="E23" s="760"/>
      <c r="F23" s="894"/>
      <c r="G23" s="894"/>
      <c r="H23" s="894"/>
    </row>
    <row r="24" spans="1:8" ht="28.5" customHeight="1">
      <c r="A24" s="760" t="s">
        <v>1897</v>
      </c>
      <c r="B24" s="760"/>
      <c r="C24" s="892" t="s">
        <v>1898</v>
      </c>
      <c r="D24" s="760"/>
      <c r="E24" s="760"/>
      <c r="F24" s="894"/>
      <c r="G24" s="894"/>
      <c r="H24" s="894"/>
    </row>
    <row r="25" spans="1:8" ht="36" customHeight="1">
      <c r="A25" s="760" t="s">
        <v>1899</v>
      </c>
      <c r="B25" s="760"/>
      <c r="C25" s="892" t="s">
        <v>1900</v>
      </c>
      <c r="D25" s="760"/>
      <c r="E25" s="760"/>
      <c r="F25" s="894"/>
      <c r="G25" s="894"/>
      <c r="H25" s="894"/>
    </row>
    <row r="26" spans="1:8" ht="27" customHeight="1">
      <c r="A26" s="760" t="s">
        <v>1901</v>
      </c>
      <c r="B26" s="760"/>
      <c r="C26" s="892" t="s">
        <v>1902</v>
      </c>
      <c r="D26" s="760"/>
      <c r="E26" s="760"/>
      <c r="F26" s="894"/>
      <c r="G26" s="894"/>
      <c r="H26" s="894"/>
    </row>
    <row r="27" spans="1:8" ht="36" customHeight="1">
      <c r="A27" s="760" t="s">
        <v>1903</v>
      </c>
      <c r="B27" s="760"/>
      <c r="C27" s="892" t="s">
        <v>1904</v>
      </c>
      <c r="D27" s="760"/>
      <c r="E27" s="760"/>
      <c r="F27" s="894"/>
      <c r="G27" s="894"/>
      <c r="H27" s="894"/>
    </row>
    <row r="28" spans="1:8" ht="28.5" customHeight="1">
      <c r="A28" s="760" t="s">
        <v>1905</v>
      </c>
      <c r="B28" s="760"/>
      <c r="C28" s="892" t="s">
        <v>1906</v>
      </c>
      <c r="D28" s="760"/>
      <c r="E28" s="760"/>
      <c r="F28" s="894"/>
      <c r="G28" s="894"/>
      <c r="H28" s="894"/>
    </row>
    <row r="29" spans="1:8" ht="126" customHeight="1">
      <c r="A29" s="760" t="s">
        <v>1907</v>
      </c>
      <c r="B29" s="760" t="s">
        <v>1574</v>
      </c>
      <c r="C29" s="892"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60" t="s">
        <v>1908</v>
      </c>
      <c r="E29" s="76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894"/>
      <c r="G29" s="894"/>
      <c r="H29" s="760" t="s">
        <v>1909</v>
      </c>
    </row>
    <row r="30" spans="1:8" ht="36" customHeight="1">
      <c r="A30" s="760" t="s">
        <v>1910</v>
      </c>
      <c r="B30" s="760"/>
      <c r="C30" s="892"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60" t="s">
        <v>1911</v>
      </c>
      <c r="E30" s="76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894"/>
      <c r="G30" s="894"/>
      <c r="H30" s="894"/>
    </row>
    <row r="31" spans="1:8" ht="54" customHeight="1">
      <c r="A31" s="760" t="s">
        <v>1912</v>
      </c>
      <c r="B31" s="760"/>
      <c r="C31" s="892" t="str">
        <f>IF(TEMPLATE_SPHERE="HEAT",D31,IF(TEMPLATE_SPHERE="TKO",H31,E31))</f>
        <v>Форма 1. Информация об организации, осуществляющей холодное водоснабжение (общая информация)</v>
      </c>
      <c r="D31" s="760" t="s">
        <v>1913</v>
      </c>
      <c r="E31" s="763"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894"/>
      <c r="G31" s="894"/>
      <c r="H31" s="894"/>
    </row>
    <row r="32" spans="1:8" ht="198" customHeight="1">
      <c r="A32" s="760" t="s">
        <v>1914</v>
      </c>
      <c r="B32" s="760"/>
      <c r="C32" s="892" t="str">
        <f>IF(TEMPLATE_SPHERE="HEAT",D32,IF(TEMPLATE_SPHERE="TKO",H32,E32))</f>
        <v>Форма 7. Информация об инвестиционных программах организации холодного водоснабжения и отчетах об их исполнении</v>
      </c>
      <c r="D32" s="760" t="s">
        <v>1915</v>
      </c>
      <c r="E32" s="76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894"/>
      <c r="G32" s="894"/>
      <c r="H32" s="760" t="s">
        <v>1916</v>
      </c>
    </row>
    <row r="33" spans="1:8" ht="9" customHeight="1">
      <c r="A33" s="760"/>
      <c r="B33" s="760"/>
      <c r="C33" s="892"/>
      <c r="D33" s="760"/>
      <c r="E33" s="760"/>
      <c r="F33" s="894"/>
      <c r="G33" s="894"/>
      <c r="H33" s="894"/>
    </row>
    <row r="34" spans="1:8" ht="9" customHeight="1">
      <c r="A34" s="760"/>
      <c r="B34" s="760" t="s">
        <v>1510</v>
      </c>
      <c r="C34" s="892">
        <f>INDEX(TEMPLATE_NAME_FORM_LIST,B34,MATCH(TEMPLATE_SPHERE,TEMPLATE_SPHERE_LIST,0))</f>
        <v>0</v>
      </c>
      <c r="D34" s="760"/>
      <c r="E34" s="760"/>
      <c r="F34" s="894"/>
      <c r="G34" s="894"/>
      <c r="H34" s="89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B12DE-B21A-6403-78A9-C85D74F70E4C}">
  <sheetPr>
    <tabColor rgb="FFFFCC99"/>
  </sheetPr>
  <dimension ref="A1:AH154"/>
  <sheetViews>
    <sheetView showGridLines="0" workbookViewId="0"/>
  </sheetViews>
  <sheetFormatPr defaultColWidth="9.140625" defaultRowHeight="9" customHeight="1"/>
  <cols>
    <col min="1" max="2" width="9.140625" style="2082"/>
    <col min="3" max="7" width="8" style="2085" customWidth="1"/>
    <col min="8" max="12" width="8.5703125" style="2085" customWidth="1"/>
    <col min="13" max="14" width="27.7109375" style="2085" customWidth="1"/>
    <col min="15" max="19" width="5.140625" style="2085" customWidth="1"/>
    <col min="20" max="24" width="27.7109375" style="2085" customWidth="1"/>
    <col min="25" max="25" width="1.85546875" style="2086" customWidth="1"/>
    <col min="26" max="26" width="27.7109375" style="2082" customWidth="1"/>
    <col min="27" max="27" width="27.7109375" style="2087" customWidth="1"/>
    <col min="28" max="29" width="27.7109375" style="2082" customWidth="1"/>
    <col min="30" max="30" width="3.85546875" style="2082" customWidth="1"/>
    <col min="31" max="34" width="9.140625" style="2082"/>
  </cols>
  <sheetData>
    <row r="1" spans="1:34" s="2084" customFormat="1" ht="18" customHeight="1">
      <c r="A1" s="811"/>
      <c r="B1" s="811"/>
      <c r="C1" s="811" t="s">
        <v>1917</v>
      </c>
      <c r="D1" s="811"/>
      <c r="E1" s="811"/>
      <c r="F1" s="811"/>
      <c r="G1" s="811"/>
      <c r="H1" s="811" t="s">
        <v>1918</v>
      </c>
      <c r="I1" s="811"/>
      <c r="J1" s="811"/>
      <c r="K1" s="811"/>
      <c r="L1" s="811"/>
      <c r="M1" s="811" t="s">
        <v>1919</v>
      </c>
      <c r="N1" s="811" t="s">
        <v>1920</v>
      </c>
      <c r="O1" s="2511" t="s">
        <v>1921</v>
      </c>
      <c r="P1" s="2511"/>
      <c r="Q1" s="2511"/>
      <c r="R1" s="2511"/>
      <c r="S1" s="2511"/>
      <c r="T1" s="2511" t="s">
        <v>1919</v>
      </c>
      <c r="U1" s="2511"/>
      <c r="V1" s="2511"/>
      <c r="W1" s="2511"/>
      <c r="X1" s="2511"/>
      <c r="Y1" s="907"/>
      <c r="Z1" s="2511" t="s">
        <v>1922</v>
      </c>
      <c r="AA1" s="2511"/>
      <c r="AB1" s="2511"/>
      <c r="AC1" s="2511"/>
      <c r="AD1" s="2511"/>
    </row>
    <row r="2" spans="1:34" ht="18" customHeight="1">
      <c r="A2" s="760"/>
      <c r="B2" s="760"/>
      <c r="C2" s="756" t="s">
        <v>706</v>
      </c>
      <c r="D2" s="756" t="s">
        <v>752</v>
      </c>
      <c r="E2" s="756" t="s">
        <v>804</v>
      </c>
      <c r="F2" s="756" t="s">
        <v>790</v>
      </c>
      <c r="G2" s="756" t="s">
        <v>1622</v>
      </c>
      <c r="H2" s="757"/>
      <c r="I2" s="757"/>
      <c r="J2" s="757"/>
      <c r="K2" s="757"/>
      <c r="L2" s="757"/>
      <c r="M2" s="757"/>
      <c r="N2" s="757"/>
      <c r="O2" s="756" t="s">
        <v>706</v>
      </c>
      <c r="P2" s="756" t="s">
        <v>752</v>
      </c>
      <c r="Q2" s="756" t="s">
        <v>790</v>
      </c>
      <c r="R2" s="756" t="s">
        <v>804</v>
      </c>
      <c r="S2" s="756" t="s">
        <v>1622</v>
      </c>
      <c r="T2" s="756" t="s">
        <v>706</v>
      </c>
      <c r="U2" s="756" t="s">
        <v>752</v>
      </c>
      <c r="V2" s="756" t="s">
        <v>790</v>
      </c>
      <c r="W2" s="756" t="s">
        <v>804</v>
      </c>
      <c r="X2" s="756" t="s">
        <v>1622</v>
      </c>
      <c r="Y2" s="756"/>
      <c r="Z2" s="756" t="s">
        <v>706</v>
      </c>
      <c r="AA2" s="764" t="s">
        <v>752</v>
      </c>
      <c r="AB2" s="756" t="s">
        <v>790</v>
      </c>
      <c r="AC2" s="756" t="s">
        <v>804</v>
      </c>
      <c r="AD2" s="756" t="s">
        <v>1622</v>
      </c>
    </row>
    <row r="3" spans="1:34" ht="162" customHeight="1">
      <c r="A3" s="759" t="s">
        <v>22</v>
      </c>
      <c r="B3" s="759"/>
      <c r="C3" s="2515" t="s">
        <v>1923</v>
      </c>
      <c r="D3" s="2516"/>
      <c r="E3" s="2516"/>
      <c r="F3" s="2517"/>
      <c r="G3" s="757"/>
      <c r="H3" s="757"/>
      <c r="I3" s="757"/>
      <c r="J3" s="757"/>
      <c r="K3" s="757"/>
      <c r="L3" s="757"/>
      <c r="M3" s="757"/>
      <c r="N3" s="758"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57"/>
      <c r="P3" s="757"/>
      <c r="Q3" s="757"/>
      <c r="R3" s="757"/>
      <c r="S3" s="757"/>
      <c r="T3" s="757"/>
      <c r="U3" s="757"/>
      <c r="V3" s="757"/>
      <c r="W3" s="757"/>
      <c r="X3" s="757"/>
      <c r="Y3" s="908"/>
      <c r="Z3" s="760" t="s">
        <v>1924</v>
      </c>
      <c r="AA3" s="757" t="s">
        <v>1925</v>
      </c>
      <c r="AB3" s="760" t="s">
        <v>1926</v>
      </c>
      <c r="AC3" s="760" t="s">
        <v>1927</v>
      </c>
      <c r="AD3" s="760"/>
      <c r="AG3" s="760"/>
      <c r="AH3" s="760"/>
    </row>
    <row r="4" spans="1:34" ht="9" customHeight="1">
      <c r="A4" s="759"/>
      <c r="B4" s="759"/>
      <c r="C4" s="757"/>
      <c r="D4" s="757"/>
      <c r="E4" s="757"/>
      <c r="F4" s="757"/>
      <c r="G4" s="757"/>
      <c r="H4" s="757"/>
      <c r="I4" s="757"/>
      <c r="J4" s="757"/>
      <c r="K4" s="757"/>
      <c r="L4" s="757"/>
      <c r="M4" s="757"/>
      <c r="N4" s="757"/>
      <c r="O4" s="757"/>
      <c r="P4" s="757"/>
      <c r="Q4" s="757"/>
      <c r="R4" s="757"/>
      <c r="S4" s="757"/>
      <c r="T4" s="757"/>
      <c r="U4" s="757"/>
      <c r="V4" s="757"/>
      <c r="W4" s="757"/>
      <c r="X4" s="757"/>
      <c r="Y4" s="908"/>
      <c r="Z4" s="760"/>
      <c r="AA4" s="763"/>
      <c r="AB4" s="760"/>
      <c r="AC4" s="760"/>
      <c r="AD4" s="760"/>
    </row>
    <row r="5" spans="1:34" ht="9" customHeight="1">
      <c r="A5" s="759"/>
      <c r="B5" s="759"/>
      <c r="C5" s="757"/>
      <c r="D5" s="757"/>
      <c r="E5" s="757"/>
      <c r="F5" s="757"/>
      <c r="G5" s="757"/>
      <c r="H5" s="757"/>
      <c r="I5" s="757"/>
      <c r="J5" s="757"/>
      <c r="K5" s="757"/>
      <c r="L5" s="757"/>
      <c r="M5" s="757"/>
      <c r="N5" s="757"/>
      <c r="O5" s="757"/>
      <c r="P5" s="757"/>
      <c r="Q5" s="757"/>
      <c r="R5" s="757"/>
      <c r="S5" s="757"/>
      <c r="T5" s="757"/>
      <c r="U5" s="757"/>
      <c r="V5" s="757"/>
      <c r="W5" s="757"/>
      <c r="X5" s="757"/>
      <c r="Y5" s="908"/>
      <c r="Z5" s="760"/>
      <c r="AA5" s="763"/>
      <c r="AB5" s="760"/>
      <c r="AC5" s="760"/>
      <c r="AD5" s="760"/>
    </row>
    <row r="6" spans="1:34" ht="9" customHeight="1">
      <c r="A6" s="759"/>
      <c r="B6" s="759"/>
      <c r="C6" s="757"/>
      <c r="D6" s="757"/>
      <c r="E6" s="757"/>
      <c r="F6" s="757"/>
      <c r="G6" s="757"/>
      <c r="H6" s="757"/>
      <c r="I6" s="757"/>
      <c r="J6" s="757"/>
      <c r="K6" s="757"/>
      <c r="L6" s="757"/>
      <c r="M6" s="757"/>
      <c r="N6" s="757"/>
      <c r="O6" s="757"/>
      <c r="P6" s="757"/>
      <c r="Q6" s="757"/>
      <c r="R6" s="757"/>
      <c r="S6" s="757"/>
      <c r="T6" s="757"/>
      <c r="U6" s="757"/>
      <c r="V6" s="757"/>
      <c r="W6" s="757"/>
      <c r="X6" s="757"/>
      <c r="Y6" s="908"/>
      <c r="Z6" s="760"/>
      <c r="AA6" s="763"/>
      <c r="AB6" s="760"/>
      <c r="AC6" s="760"/>
      <c r="AD6" s="760"/>
    </row>
    <row r="7" spans="1:34" ht="9" customHeight="1">
      <c r="A7" s="759"/>
      <c r="B7" s="759"/>
      <c r="C7" s="757"/>
      <c r="D7" s="757"/>
      <c r="E7" s="757"/>
      <c r="F7" s="757"/>
      <c r="G7" s="757"/>
      <c r="H7" s="757"/>
      <c r="I7" s="757"/>
      <c r="J7" s="757"/>
      <c r="K7" s="757"/>
      <c r="L7" s="757"/>
      <c r="M7" s="757"/>
      <c r="N7" s="757"/>
      <c r="O7" s="757"/>
      <c r="P7" s="757"/>
      <c r="Q7" s="757"/>
      <c r="R7" s="757"/>
      <c r="S7" s="757"/>
      <c r="T7" s="757"/>
      <c r="U7" s="757"/>
      <c r="V7" s="757"/>
      <c r="W7" s="757"/>
      <c r="X7" s="757"/>
      <c r="Y7" s="908"/>
      <c r="Z7" s="760"/>
      <c r="AA7" s="763"/>
      <c r="AB7" s="760"/>
      <c r="AC7" s="760"/>
      <c r="AD7" s="760"/>
    </row>
    <row r="8" spans="1:34" ht="9" customHeight="1">
      <c r="A8" s="759"/>
      <c r="B8" s="759"/>
      <c r="C8" s="757"/>
      <c r="D8" s="757"/>
      <c r="E8" s="757"/>
      <c r="F8" s="757"/>
      <c r="G8" s="757"/>
      <c r="H8" s="757"/>
      <c r="I8" s="757"/>
      <c r="J8" s="757"/>
      <c r="K8" s="757"/>
      <c r="L8" s="757"/>
      <c r="M8" s="757"/>
      <c r="N8" s="757"/>
      <c r="O8" s="757"/>
      <c r="P8" s="757"/>
      <c r="Q8" s="757"/>
      <c r="R8" s="757"/>
      <c r="S8" s="757"/>
      <c r="T8" s="757"/>
      <c r="U8" s="757"/>
      <c r="V8" s="757"/>
      <c r="W8" s="757"/>
      <c r="X8" s="757"/>
      <c r="Y8" s="908"/>
      <c r="Z8" s="760"/>
      <c r="AA8" s="763"/>
      <c r="AB8" s="760"/>
      <c r="AC8" s="760"/>
      <c r="AD8" s="760"/>
    </row>
    <row r="9" spans="1:34" ht="9" customHeight="1">
      <c r="A9" s="759"/>
      <c r="B9" s="759"/>
      <c r="C9" s="757"/>
      <c r="D9" s="757"/>
      <c r="E9" s="757"/>
      <c r="F9" s="757"/>
      <c r="G9" s="757"/>
      <c r="H9" s="757"/>
      <c r="I9" s="757"/>
      <c r="J9" s="757"/>
      <c r="K9" s="757"/>
      <c r="L9" s="757"/>
      <c r="M9" s="757"/>
      <c r="N9" s="757"/>
      <c r="O9" s="757"/>
      <c r="P9" s="757"/>
      <c r="Q9" s="757"/>
      <c r="R9" s="757"/>
      <c r="S9" s="757"/>
      <c r="T9" s="757"/>
      <c r="U9" s="757"/>
      <c r="V9" s="757"/>
      <c r="W9" s="757"/>
      <c r="X9" s="757"/>
      <c r="Y9" s="908"/>
      <c r="Z9" s="760"/>
      <c r="AA9" s="763"/>
      <c r="AB9" s="760"/>
      <c r="AC9" s="760"/>
      <c r="AD9" s="760"/>
    </row>
    <row r="10" spans="1:34" ht="9" customHeight="1">
      <c r="A10" s="812"/>
      <c r="B10" s="812"/>
      <c r="C10" s="812"/>
      <c r="D10" s="812"/>
      <c r="E10" s="812"/>
      <c r="F10" s="812"/>
      <c r="G10" s="812"/>
      <c r="H10" s="812"/>
      <c r="I10" s="812"/>
      <c r="J10" s="812"/>
      <c r="K10" s="812"/>
      <c r="L10" s="812"/>
      <c r="M10" s="812"/>
      <c r="N10" s="812"/>
      <c r="O10" s="812"/>
      <c r="P10" s="812"/>
      <c r="Q10" s="812"/>
      <c r="R10" s="812"/>
      <c r="S10" s="812"/>
      <c r="T10" s="812"/>
      <c r="U10" s="812"/>
      <c r="V10" s="812"/>
      <c r="W10" s="812"/>
      <c r="X10" s="812"/>
      <c r="Y10" s="812"/>
      <c r="Z10" s="812"/>
      <c r="AA10" s="812"/>
      <c r="AB10" s="812"/>
      <c r="AC10" s="812"/>
      <c r="AD10" s="812"/>
    </row>
    <row r="11" spans="1:34" ht="45" customHeight="1">
      <c r="A11" s="2512" t="s">
        <v>29</v>
      </c>
      <c r="B11" s="812">
        <v>1</v>
      </c>
      <c r="C11" s="2518" t="s">
        <v>1561</v>
      </c>
      <c r="D11" s="2518" t="s">
        <v>1557</v>
      </c>
      <c r="E11" s="2518" t="s">
        <v>1655</v>
      </c>
      <c r="F11" s="2518" t="s">
        <v>1928</v>
      </c>
      <c r="G11" s="2518"/>
      <c r="H11" s="811" t="s">
        <v>1929</v>
      </c>
      <c r="I11" s="811"/>
      <c r="J11" s="811"/>
      <c r="K11" s="811"/>
      <c r="L11" s="811"/>
      <c r="M11" s="758" t="str">
        <f>IF(TEMPLATE_SPHERE="HEAT",T11,U11)</f>
        <v xml:space="preserve">Количество поданных заявлений </v>
      </c>
      <c r="N11" s="758"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57"/>
      <c r="P11" s="757"/>
      <c r="Q11" s="757"/>
      <c r="R11" s="757"/>
      <c r="S11" s="757"/>
      <c r="T11" s="757" t="s">
        <v>1930</v>
      </c>
      <c r="U11" s="757" t="s">
        <v>1931</v>
      </c>
      <c r="V11" s="757"/>
      <c r="W11" s="757"/>
      <c r="X11" s="757"/>
      <c r="Y11" s="908"/>
      <c r="Z11" s="760" t="s">
        <v>1932</v>
      </c>
      <c r="AA11" s="76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60"/>
      <c r="AC11" s="760"/>
      <c r="AD11" s="760"/>
    </row>
    <row r="12" spans="1:34" ht="45" customHeight="1">
      <c r="A12" s="2512"/>
      <c r="B12" s="812">
        <v>2</v>
      </c>
      <c r="C12" s="2519"/>
      <c r="D12" s="2519"/>
      <c r="E12" s="2519"/>
      <c r="F12" s="2519"/>
      <c r="G12" s="2519"/>
      <c r="H12" s="811" t="s">
        <v>1933</v>
      </c>
      <c r="I12" s="811"/>
      <c r="J12" s="811"/>
      <c r="K12" s="811"/>
      <c r="L12" s="811"/>
      <c r="M12" s="758" t="str">
        <f>IF(TEMPLATE_SPHERE="HEAT",T12,U12)</f>
        <v xml:space="preserve">Количество исполненных заявлений </v>
      </c>
      <c r="N12" s="758"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57"/>
      <c r="P12" s="757"/>
      <c r="Q12" s="757"/>
      <c r="R12" s="757"/>
      <c r="S12" s="757"/>
      <c r="T12" s="757" t="s">
        <v>1934</v>
      </c>
      <c r="U12" s="757" t="s">
        <v>1935</v>
      </c>
      <c r="V12" s="757"/>
      <c r="W12" s="757"/>
      <c r="X12" s="757"/>
      <c r="Y12" s="908"/>
      <c r="Z12" s="760" t="s">
        <v>1936</v>
      </c>
      <c r="AA12" s="76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60"/>
      <c r="AC12" s="760"/>
      <c r="AD12" s="760"/>
    </row>
    <row r="13" spans="1:34" ht="72" customHeight="1">
      <c r="A13" s="2512"/>
      <c r="B13" s="812">
        <v>3</v>
      </c>
      <c r="C13" s="2519"/>
      <c r="D13" s="2519"/>
      <c r="E13" s="2519"/>
      <c r="F13" s="2519"/>
      <c r="G13" s="2519"/>
      <c r="H13" s="2511" t="s">
        <v>1937</v>
      </c>
      <c r="I13" s="811"/>
      <c r="J13" s="811"/>
      <c r="K13" s="811"/>
      <c r="L13" s="811"/>
      <c r="M13" s="758" t="str">
        <f>IF(TEMPLATE_SPHERE="HEAT",T13,U13)</f>
        <v>Количество заявлений о заключении договоров о подключении (технологическом присоединении)</v>
      </c>
      <c r="N13" s="758"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57"/>
      <c r="P13" s="758"/>
      <c r="Q13" s="758"/>
      <c r="R13" s="758"/>
      <c r="S13" s="757"/>
      <c r="T13" s="757" t="s">
        <v>1938</v>
      </c>
      <c r="U13" s="758" t="s">
        <v>1939</v>
      </c>
      <c r="V13" s="758"/>
      <c r="W13" s="758"/>
      <c r="X13" s="757"/>
      <c r="Y13" s="908"/>
      <c r="Z13" s="760" t="s">
        <v>1940</v>
      </c>
      <c r="AA13" s="76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60"/>
      <c r="AC13" s="760"/>
      <c r="AD13" s="760"/>
    </row>
    <row r="14" spans="1:34" ht="45" customHeight="1">
      <c r="A14" s="2512"/>
      <c r="B14" s="812">
        <v>4</v>
      </c>
      <c r="C14" s="2519"/>
      <c r="D14" s="2519"/>
      <c r="E14" s="2519"/>
      <c r="F14" s="2519"/>
      <c r="G14" s="2519"/>
      <c r="H14" s="2511"/>
      <c r="I14" s="814"/>
      <c r="J14" s="814"/>
      <c r="K14" s="814"/>
      <c r="L14" s="814"/>
      <c r="M14" s="761"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58"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57"/>
      <c r="P14" s="758"/>
      <c r="Q14" s="758"/>
      <c r="R14" s="758"/>
      <c r="S14" s="757"/>
      <c r="T14" s="757" t="s">
        <v>1941</v>
      </c>
      <c r="U14" s="75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58"/>
      <c r="W14" s="758"/>
      <c r="X14" s="757"/>
      <c r="Y14" s="908"/>
      <c r="Z14" s="760" t="s">
        <v>1942</v>
      </c>
      <c r="AA14" s="763" t="s">
        <v>1942</v>
      </c>
      <c r="AB14" s="760"/>
      <c r="AC14" s="760"/>
      <c r="AD14" s="760"/>
    </row>
    <row r="15" spans="1:34" ht="108" customHeight="1">
      <c r="A15" s="2512"/>
      <c r="B15" s="812">
        <v>5</v>
      </c>
      <c r="C15" s="2519"/>
      <c r="D15" s="2519"/>
      <c r="E15" s="2519"/>
      <c r="F15" s="2519"/>
      <c r="G15" s="2519"/>
      <c r="H15" s="2513" t="s">
        <v>1943</v>
      </c>
      <c r="I15" s="813"/>
      <c r="J15" s="813"/>
      <c r="K15" s="813"/>
      <c r="L15" s="813"/>
      <c r="M15" s="763"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62"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57"/>
      <c r="P15" s="758"/>
      <c r="Q15" s="758"/>
      <c r="R15" s="758"/>
      <c r="S15" s="757"/>
      <c r="T15" s="757" t="s">
        <v>1944</v>
      </c>
      <c r="U15" s="75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58"/>
      <c r="W15" s="758"/>
      <c r="X15" s="757"/>
      <c r="Y15" s="908"/>
      <c r="Z15" s="760" t="s">
        <v>1945</v>
      </c>
      <c r="AA15" s="76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60"/>
      <c r="AC15" s="760"/>
      <c r="AD15" s="760"/>
    </row>
    <row r="16" spans="1:34" ht="108" customHeight="1">
      <c r="A16" s="812"/>
      <c r="B16" s="812">
        <v>6</v>
      </c>
      <c r="C16" s="2520"/>
      <c r="D16" s="2520"/>
      <c r="E16" s="2520"/>
      <c r="F16" s="2520"/>
      <c r="G16" s="2520"/>
      <c r="H16" s="2514"/>
      <c r="I16" s="871"/>
      <c r="J16" s="871"/>
      <c r="K16" s="871"/>
      <c r="L16" s="871"/>
      <c r="M16" s="805"/>
      <c r="N16" s="762"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57"/>
      <c r="P16" s="758"/>
      <c r="Q16" s="758"/>
      <c r="R16" s="758"/>
      <c r="S16" s="757"/>
      <c r="T16" s="757"/>
      <c r="U16" s="758"/>
      <c r="V16" s="758"/>
      <c r="W16" s="758"/>
      <c r="X16" s="757"/>
      <c r="Y16" s="908"/>
      <c r="Z16" s="760" t="s">
        <v>1945</v>
      </c>
      <c r="AA16" s="76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60"/>
      <c r="AC16" s="760"/>
      <c r="AD16" s="760"/>
    </row>
    <row r="17" spans="1:30" ht="9" customHeight="1">
      <c r="A17" s="812"/>
      <c r="B17" s="812"/>
      <c r="C17" s="812">
        <v>22</v>
      </c>
      <c r="D17" s="812">
        <v>21</v>
      </c>
      <c r="E17" s="812">
        <v>42</v>
      </c>
      <c r="F17" s="812">
        <v>63</v>
      </c>
      <c r="G17" s="812"/>
      <c r="H17" s="812"/>
      <c r="I17" s="812"/>
      <c r="J17" s="812"/>
      <c r="K17" s="812"/>
      <c r="L17" s="812"/>
      <c r="M17" s="812"/>
      <c r="N17" s="812"/>
      <c r="O17" s="812"/>
      <c r="P17" s="812"/>
      <c r="Q17" s="812"/>
      <c r="R17" s="812"/>
      <c r="S17" s="812"/>
      <c r="T17" s="812"/>
      <c r="U17" s="812"/>
      <c r="V17" s="812"/>
      <c r="W17" s="812"/>
      <c r="X17" s="812"/>
      <c r="Y17" s="812"/>
      <c r="Z17" s="812"/>
      <c r="AA17" s="812"/>
      <c r="AB17" s="812"/>
      <c r="AC17" s="812"/>
      <c r="AD17" s="812"/>
    </row>
    <row r="18" spans="1:30" ht="27" customHeight="1">
      <c r="A18" s="759" t="s">
        <v>1658</v>
      </c>
      <c r="B18" s="812">
        <v>1</v>
      </c>
      <c r="C18" s="757" t="s">
        <v>1929</v>
      </c>
      <c r="D18" s="876" t="s">
        <v>1929</v>
      </c>
      <c r="E18" s="757" t="s">
        <v>1929</v>
      </c>
      <c r="F18" s="757" t="s">
        <v>1929</v>
      </c>
      <c r="G18" s="757"/>
      <c r="H18" s="909"/>
      <c r="I18" s="912">
        <f t="shared" ref="I18:I49" si="1">INDEX(TEMPLATE_NUMBER_POINT_FHD,B18,MATCH(TEMPLATE_SPHERE,TEMPLATE_SPHERE_LIST_FOR_NOTE,0))</f>
        <v>1</v>
      </c>
      <c r="J18" s="912" t="str">
        <f t="shared" ref="J18:J49" si="2">INDEX(TEMPLATE_DATA_POINT_FHD,B18,MATCH(TEMPLATE_SPHERE,TEMPLATE_SPHERE_LIST_FOR_NOTE,0))</f>
        <v>Выручка от регулируемых видов деятельности в сфере холодного водоснабжения</v>
      </c>
      <c r="K18" s="912" t="str">
        <f t="shared" ref="K18:K49" si="3">INDEX(TEMPLATE_NOTE_POINT_FHD,B18,MATCH(TEMPLATE_SPHERE,TEMPLATE_SPHERE_LIST_FOR_NOTE,0))</f>
        <v>Указывается выручка с распределением по видам деятельности.</v>
      </c>
      <c r="L18" s="758">
        <f t="shared" ref="L18:L49" si="4">IF(I18=0,"",I18)</f>
        <v>1</v>
      </c>
      <c r="M18" s="758" t="str">
        <f t="shared" ref="M18:M49" si="5">IF(J18=0,"",J18)</f>
        <v>Выручка от регулируемых видов деятельности в сфере холодного водоснабжения</v>
      </c>
      <c r="N18" s="758" t="str">
        <f t="shared" ref="N18:N49" si="6">IF(K18=0,"",K18)</f>
        <v>Указывается выручка с распределением по видам деятельности.</v>
      </c>
      <c r="O18" s="866">
        <v>1</v>
      </c>
      <c r="P18" s="866">
        <v>1</v>
      </c>
      <c r="Q18" s="866">
        <v>1</v>
      </c>
      <c r="R18" s="866">
        <v>1</v>
      </c>
      <c r="S18" s="866"/>
      <c r="T18" s="873" t="s">
        <v>1946</v>
      </c>
      <c r="U18" s="760" t="s">
        <v>1947</v>
      </c>
      <c r="V18" s="760" t="s">
        <v>1948</v>
      </c>
      <c r="W18" s="760" t="s">
        <v>1949</v>
      </c>
      <c r="X18" s="757"/>
      <c r="Y18" s="908"/>
      <c r="Z18" s="760" t="s">
        <v>1950</v>
      </c>
      <c r="AA18" s="763" t="s">
        <v>1951</v>
      </c>
      <c r="AB18" s="763" t="s">
        <v>1951</v>
      </c>
      <c r="AC18" s="763" t="s">
        <v>1951</v>
      </c>
      <c r="AD18" s="760"/>
    </row>
    <row r="19" spans="1:30" ht="36" customHeight="1">
      <c r="A19" s="759"/>
      <c r="B19" s="812">
        <v>2</v>
      </c>
      <c r="C19" s="757" t="s">
        <v>1933</v>
      </c>
      <c r="D19" s="876" t="s">
        <v>1933</v>
      </c>
      <c r="E19" s="757" t="s">
        <v>1933</v>
      </c>
      <c r="F19" s="757" t="s">
        <v>1933</v>
      </c>
      <c r="G19" s="757"/>
      <c r="H19" s="909"/>
      <c r="I19" s="912">
        <f t="shared" si="1"/>
        <v>2</v>
      </c>
      <c r="J19" s="912" t="str">
        <f t="shared" si="2"/>
        <v>Себестоимость производимых товаров (оказываемых услуг) по регулируемым видам деятельности в сфере холодного водоснабжения, включая:</v>
      </c>
      <c r="K19" s="912" t="str">
        <f t="shared" si="3"/>
        <v>Указывается суммарная себестоимость производимых товаров.</v>
      </c>
      <c r="L19" s="758">
        <f t="shared" si="4"/>
        <v>2</v>
      </c>
      <c r="M19" s="758" t="str">
        <f t="shared" si="5"/>
        <v>Себестоимость производимых товаров (оказываемых услуг) по регулируемым видам деятельности в сфере холодного водоснабжения, включая:</v>
      </c>
      <c r="N19" s="758" t="str">
        <f t="shared" si="6"/>
        <v>Указывается суммарная себестоимость производимых товаров.</v>
      </c>
      <c r="O19" s="866">
        <v>2</v>
      </c>
      <c r="P19" s="866">
        <v>2</v>
      </c>
      <c r="Q19" s="866">
        <v>2</v>
      </c>
      <c r="R19" s="866">
        <v>2</v>
      </c>
      <c r="S19" s="866"/>
      <c r="T19" s="873" t="s">
        <v>1952</v>
      </c>
      <c r="U19" s="760" t="s">
        <v>1953</v>
      </c>
      <c r="V19" s="760" t="s">
        <v>1954</v>
      </c>
      <c r="W19" s="760" t="s">
        <v>1955</v>
      </c>
      <c r="X19" s="757"/>
      <c r="Y19" s="908"/>
      <c r="Z19" s="760" t="s">
        <v>1956</v>
      </c>
      <c r="AA19" s="763" t="s">
        <v>1956</v>
      </c>
      <c r="AB19" s="763" t="s">
        <v>1956</v>
      </c>
      <c r="AC19" s="763" t="s">
        <v>1956</v>
      </c>
      <c r="AD19" s="760"/>
    </row>
    <row r="20" spans="1:30" ht="27" customHeight="1">
      <c r="A20" s="759"/>
      <c r="B20" s="812">
        <v>3</v>
      </c>
      <c r="C20" s="757">
        <v>1</v>
      </c>
      <c r="D20" s="876"/>
      <c r="E20" s="757"/>
      <c r="F20" s="757"/>
      <c r="G20" s="757"/>
      <c r="H20" s="909"/>
      <c r="I20" s="912" t="str">
        <f t="shared" si="1"/>
        <v>2.1</v>
      </c>
      <c r="J20" s="912" t="str">
        <f t="shared" si="2"/>
        <v>Расходы на оплату холодной воды, приобретаемой у других организаций для последующей подачи потребителям</v>
      </c>
      <c r="K20" s="912">
        <f t="shared" si="3"/>
        <v>0</v>
      </c>
      <c r="L20" s="758" t="str">
        <f t="shared" si="4"/>
        <v>2.1</v>
      </c>
      <c r="M20" s="758" t="str">
        <f t="shared" si="5"/>
        <v>Расходы на оплату холодной воды, приобретаемой у других организаций для последующей подачи потребителям</v>
      </c>
      <c r="N20" s="758" t="str">
        <f t="shared" si="6"/>
        <v/>
      </c>
      <c r="O20" s="866" t="s">
        <v>606</v>
      </c>
      <c r="P20" s="866" t="s">
        <v>606</v>
      </c>
      <c r="Q20" s="866" t="s">
        <v>606</v>
      </c>
      <c r="R20" s="866" t="s">
        <v>606</v>
      </c>
      <c r="S20" s="866"/>
      <c r="T20" s="873" t="s">
        <v>1957</v>
      </c>
      <c r="U20" s="760" t="s">
        <v>1958</v>
      </c>
      <c r="V20" s="760" t="s">
        <v>1959</v>
      </c>
      <c r="W20" s="760" t="s">
        <v>1960</v>
      </c>
      <c r="X20" s="757"/>
      <c r="Y20" s="908"/>
      <c r="Z20" s="760"/>
      <c r="AA20" s="763"/>
      <c r="AB20" s="760"/>
      <c r="AC20" s="760"/>
      <c r="AD20" s="760"/>
    </row>
    <row r="21" spans="1:30" ht="36" customHeight="1">
      <c r="A21" s="759"/>
      <c r="B21" s="812">
        <v>4</v>
      </c>
      <c r="C21" s="757">
        <v>2</v>
      </c>
      <c r="D21" s="876"/>
      <c r="E21" s="757"/>
      <c r="F21" s="757"/>
      <c r="G21" s="757"/>
      <c r="H21" s="909"/>
      <c r="I21" s="912">
        <f t="shared" si="1"/>
        <v>0</v>
      </c>
      <c r="J21" s="912">
        <f t="shared" si="2"/>
        <v>0</v>
      </c>
      <c r="K21" s="912">
        <f t="shared" si="3"/>
        <v>0</v>
      </c>
      <c r="L21" s="758" t="str">
        <f t="shared" si="4"/>
        <v/>
      </c>
      <c r="M21" s="758" t="str">
        <f t="shared" si="5"/>
        <v/>
      </c>
      <c r="N21" s="758" t="str">
        <f t="shared" si="6"/>
        <v/>
      </c>
      <c r="O21" s="866" t="s">
        <v>296</v>
      </c>
      <c r="P21" s="866"/>
      <c r="Q21" s="866"/>
      <c r="R21" s="866"/>
      <c r="S21" s="866"/>
      <c r="T21" s="873" t="s">
        <v>1961</v>
      </c>
      <c r="U21" s="760"/>
      <c r="V21" s="760"/>
      <c r="W21" s="760"/>
      <c r="X21" s="757"/>
      <c r="Y21" s="908"/>
      <c r="Z21" s="760" t="s">
        <v>1962</v>
      </c>
      <c r="AA21" s="763"/>
      <c r="AB21" s="760"/>
      <c r="AC21" s="760"/>
      <c r="AD21" s="760"/>
    </row>
    <row r="22" spans="1:30" ht="36" customHeight="1">
      <c r="A22" s="759"/>
      <c r="B22" s="812">
        <v>5</v>
      </c>
      <c r="C22" s="757">
        <v>3</v>
      </c>
      <c r="D22" s="876"/>
      <c r="E22" s="757"/>
      <c r="F22" s="757"/>
      <c r="G22" s="804"/>
      <c r="H22" s="867"/>
      <c r="I22" s="912">
        <f t="shared" si="1"/>
        <v>0</v>
      </c>
      <c r="J22" s="912">
        <f t="shared" si="2"/>
        <v>0</v>
      </c>
      <c r="K22" s="912">
        <f t="shared" si="3"/>
        <v>0</v>
      </c>
      <c r="L22" s="758" t="str">
        <f t="shared" si="4"/>
        <v/>
      </c>
      <c r="M22" s="758" t="str">
        <f t="shared" si="5"/>
        <v/>
      </c>
      <c r="N22" s="758" t="str">
        <f t="shared" si="6"/>
        <v/>
      </c>
      <c r="O22" s="866"/>
      <c r="P22" s="866"/>
      <c r="Q22" s="866" t="s">
        <v>296</v>
      </c>
      <c r="R22" s="866"/>
      <c r="S22" s="866"/>
      <c r="T22" s="873"/>
      <c r="U22" s="760"/>
      <c r="V22" s="760" t="s">
        <v>1963</v>
      </c>
      <c r="W22" s="760"/>
      <c r="X22" s="757"/>
      <c r="Y22" s="908"/>
      <c r="Z22" s="760"/>
      <c r="AA22" s="763"/>
      <c r="AB22" s="760"/>
      <c r="AC22" s="760"/>
      <c r="AD22" s="760"/>
    </row>
    <row r="23" spans="1:30" ht="27" customHeight="1">
      <c r="A23" s="759"/>
      <c r="B23" s="812">
        <v>6</v>
      </c>
      <c r="C23" s="757">
        <v>4</v>
      </c>
      <c r="D23" s="876"/>
      <c r="E23" s="757"/>
      <c r="F23" s="757"/>
      <c r="G23" s="804"/>
      <c r="H23" s="867"/>
      <c r="I23" s="912">
        <f t="shared" si="1"/>
        <v>0</v>
      </c>
      <c r="J23" s="912">
        <f t="shared" si="2"/>
        <v>0</v>
      </c>
      <c r="K23" s="912">
        <f t="shared" si="3"/>
        <v>0</v>
      </c>
      <c r="L23" s="758" t="str">
        <f t="shared" si="4"/>
        <v/>
      </c>
      <c r="M23" s="758" t="str">
        <f t="shared" si="5"/>
        <v/>
      </c>
      <c r="N23" s="758" t="str">
        <f t="shared" si="6"/>
        <v/>
      </c>
      <c r="O23" s="866"/>
      <c r="P23" s="866"/>
      <c r="Q23" s="866" t="s">
        <v>299</v>
      </c>
      <c r="R23" s="866"/>
      <c r="S23" s="866"/>
      <c r="T23" s="873"/>
      <c r="U23" s="760"/>
      <c r="V23" s="760" t="s">
        <v>1964</v>
      </c>
      <c r="W23" s="760"/>
      <c r="X23" s="757"/>
      <c r="Y23" s="908"/>
      <c r="Z23" s="760"/>
      <c r="AA23" s="763"/>
      <c r="AB23" s="760"/>
      <c r="AC23" s="760"/>
      <c r="AD23" s="760"/>
    </row>
    <row r="24" spans="1:30" ht="36" customHeight="1">
      <c r="A24" s="759"/>
      <c r="B24" s="812">
        <v>7</v>
      </c>
      <c r="C24" s="757">
        <v>5</v>
      </c>
      <c r="D24" s="876"/>
      <c r="E24" s="757"/>
      <c r="F24" s="757"/>
      <c r="G24" s="804"/>
      <c r="H24" s="867"/>
      <c r="I24" s="912">
        <f t="shared" si="1"/>
        <v>0</v>
      </c>
      <c r="J24" s="912">
        <f t="shared" si="2"/>
        <v>0</v>
      </c>
      <c r="K24" s="912">
        <f t="shared" si="3"/>
        <v>0</v>
      </c>
      <c r="L24" s="758" t="str">
        <f t="shared" si="4"/>
        <v/>
      </c>
      <c r="M24" s="758" t="str">
        <f t="shared" si="5"/>
        <v/>
      </c>
      <c r="N24" s="758" t="str">
        <f t="shared" si="6"/>
        <v/>
      </c>
      <c r="O24" s="866"/>
      <c r="P24" s="866"/>
      <c r="Q24" s="866" t="s">
        <v>626</v>
      </c>
      <c r="R24" s="866"/>
      <c r="S24" s="866"/>
      <c r="T24" s="873"/>
      <c r="U24" s="760"/>
      <c r="V24" s="760" t="s">
        <v>1965</v>
      </c>
      <c r="W24" s="760"/>
      <c r="X24" s="757"/>
      <c r="Y24" s="908"/>
      <c r="Z24" s="760"/>
      <c r="AA24" s="763"/>
      <c r="AB24" s="760"/>
      <c r="AC24" s="760"/>
      <c r="AD24" s="760"/>
    </row>
    <row r="25" spans="1:30" ht="36" customHeight="1">
      <c r="A25" s="759"/>
      <c r="B25" s="812">
        <v>8</v>
      </c>
      <c r="C25" s="757">
        <v>6</v>
      </c>
      <c r="D25" s="876"/>
      <c r="E25" s="757"/>
      <c r="F25" s="757"/>
      <c r="G25" s="804"/>
      <c r="H25" s="867"/>
      <c r="I25" s="912" t="str">
        <f t="shared" si="1"/>
        <v>2.2</v>
      </c>
      <c r="J25" s="912" t="str">
        <f t="shared" si="2"/>
        <v>Расходы на приобретаемую электрическую энергию (мощность), используемую в технологическом процессе</v>
      </c>
      <c r="K25" s="912">
        <f t="shared" si="3"/>
        <v>0</v>
      </c>
      <c r="L25" s="758" t="str">
        <f t="shared" si="4"/>
        <v>2.2</v>
      </c>
      <c r="M25" s="758" t="str">
        <f t="shared" si="5"/>
        <v>Расходы на приобретаемую электрическую энергию (мощность), используемую в технологическом процессе</v>
      </c>
      <c r="N25" s="758" t="str">
        <f t="shared" si="6"/>
        <v/>
      </c>
      <c r="O25" s="866" t="s">
        <v>299</v>
      </c>
      <c r="P25" s="866" t="s">
        <v>296</v>
      </c>
      <c r="Q25" s="866" t="s">
        <v>633</v>
      </c>
      <c r="R25" s="866" t="s">
        <v>296</v>
      </c>
      <c r="S25" s="866"/>
      <c r="T25" s="873" t="s">
        <v>1966</v>
      </c>
      <c r="U25" s="760" t="s">
        <v>1966</v>
      </c>
      <c r="V25" s="760" t="s">
        <v>1966</v>
      </c>
      <c r="W25" s="760" t="s">
        <v>1966</v>
      </c>
      <c r="X25" s="757"/>
      <c r="Y25" s="908"/>
      <c r="Z25" s="760"/>
      <c r="AA25" s="763"/>
      <c r="AB25" s="760"/>
      <c r="AC25" s="760"/>
      <c r="AD25" s="760"/>
    </row>
    <row r="26" spans="1:30" ht="18" customHeight="1">
      <c r="A26" s="759"/>
      <c r="B26" s="812">
        <v>9</v>
      </c>
      <c r="C26" s="757" t="s">
        <v>802</v>
      </c>
      <c r="D26" s="876"/>
      <c r="E26" s="757"/>
      <c r="F26" s="757"/>
      <c r="G26" s="804"/>
      <c r="H26" s="867"/>
      <c r="I26" s="912" t="str">
        <f t="shared" si="1"/>
        <v>2.2.1</v>
      </c>
      <c r="J26" s="912" t="str">
        <f t="shared" si="2"/>
        <v>Средневзвешенная стоимость 1 кВт.ч (с учетом мощности)</v>
      </c>
      <c r="K26" s="912">
        <f t="shared" si="3"/>
        <v>0</v>
      </c>
      <c r="L26" s="758" t="str">
        <f t="shared" si="4"/>
        <v>2.2.1</v>
      </c>
      <c r="M26" s="758" t="str">
        <f t="shared" si="5"/>
        <v>Средневзвешенная стоимость 1 кВт.ч (с учетом мощности)</v>
      </c>
      <c r="N26" s="758" t="str">
        <f t="shared" si="6"/>
        <v/>
      </c>
      <c r="O26" s="866" t="s">
        <v>622</v>
      </c>
      <c r="P26" s="866" t="s">
        <v>616</v>
      </c>
      <c r="Q26" s="866" t="s">
        <v>1967</v>
      </c>
      <c r="R26" s="866" t="s">
        <v>616</v>
      </c>
      <c r="S26" s="866"/>
      <c r="T26" s="873" t="s">
        <v>1968</v>
      </c>
      <c r="U26" s="873" t="s">
        <v>1968</v>
      </c>
      <c r="V26" s="873" t="s">
        <v>1968</v>
      </c>
      <c r="W26" s="873" t="s">
        <v>1968</v>
      </c>
      <c r="X26" s="757"/>
      <c r="Y26" s="908"/>
      <c r="Z26" s="760"/>
      <c r="AA26" s="763"/>
      <c r="AB26" s="760"/>
      <c r="AC26" s="760"/>
      <c r="AD26" s="760"/>
    </row>
    <row r="27" spans="1:30" ht="18" customHeight="1">
      <c r="A27" s="759"/>
      <c r="B27" s="812">
        <v>10</v>
      </c>
      <c r="C27" s="757" t="s">
        <v>1969</v>
      </c>
      <c r="D27" s="876"/>
      <c r="E27" s="757"/>
      <c r="F27" s="757"/>
      <c r="G27" s="804"/>
      <c r="H27" s="867"/>
      <c r="I27" s="912" t="str">
        <f t="shared" si="1"/>
        <v>2.2.2</v>
      </c>
      <c r="J27" s="912" t="str">
        <f t="shared" si="2"/>
        <v>Объём приобретения электрической энергии</v>
      </c>
      <c r="K27" s="912">
        <f t="shared" si="3"/>
        <v>0</v>
      </c>
      <c r="L27" s="758" t="str">
        <f t="shared" si="4"/>
        <v>2.2.2</v>
      </c>
      <c r="M27" s="758" t="str">
        <f t="shared" si="5"/>
        <v>Объём приобретения электрической энергии</v>
      </c>
      <c r="N27" s="758" t="str">
        <f t="shared" si="6"/>
        <v/>
      </c>
      <c r="O27" s="866" t="s">
        <v>624</v>
      </c>
      <c r="P27" s="866" t="s">
        <v>618</v>
      </c>
      <c r="Q27" s="866" t="s">
        <v>1970</v>
      </c>
      <c r="R27" s="866" t="s">
        <v>618</v>
      </c>
      <c r="S27" s="866"/>
      <c r="T27" s="873" t="s">
        <v>1971</v>
      </c>
      <c r="U27" s="873" t="s">
        <v>1971</v>
      </c>
      <c r="V27" s="873" t="s">
        <v>1971</v>
      </c>
      <c r="W27" s="873" t="s">
        <v>1971</v>
      </c>
      <c r="X27" s="757"/>
      <c r="Y27" s="908"/>
      <c r="Z27" s="760"/>
      <c r="AA27" s="763"/>
      <c r="AB27" s="760"/>
      <c r="AC27" s="760"/>
      <c r="AD27" s="760"/>
    </row>
    <row r="28" spans="1:30" ht="27" customHeight="1">
      <c r="A28" s="759"/>
      <c r="B28" s="812">
        <v>11</v>
      </c>
      <c r="C28" s="757">
        <v>7</v>
      </c>
      <c r="D28" s="876"/>
      <c r="E28" s="757"/>
      <c r="F28" s="757"/>
      <c r="G28" s="804"/>
      <c r="H28" s="867"/>
      <c r="I28" s="912">
        <f t="shared" si="1"/>
        <v>0</v>
      </c>
      <c r="J28" s="912">
        <f t="shared" si="2"/>
        <v>0</v>
      </c>
      <c r="K28" s="912">
        <f t="shared" si="3"/>
        <v>0</v>
      </c>
      <c r="L28" s="758" t="str">
        <f t="shared" si="4"/>
        <v/>
      </c>
      <c r="M28" s="758" t="str">
        <f t="shared" si="5"/>
        <v/>
      </c>
      <c r="N28" s="758" t="str">
        <f t="shared" si="6"/>
        <v/>
      </c>
      <c r="O28" s="866" t="s">
        <v>626</v>
      </c>
      <c r="P28" s="866"/>
      <c r="Q28" s="866"/>
      <c r="R28" s="866"/>
      <c r="S28" s="866"/>
      <c r="T28" s="873" t="s">
        <v>1972</v>
      </c>
      <c r="U28" s="760"/>
      <c r="V28" s="760"/>
      <c r="W28" s="760"/>
      <c r="X28" s="757"/>
      <c r="Y28" s="908"/>
      <c r="Z28" s="760"/>
      <c r="AA28" s="763"/>
      <c r="AB28" s="760"/>
      <c r="AC28" s="760"/>
      <c r="AD28" s="760"/>
    </row>
    <row r="29" spans="1:30" ht="27" customHeight="1">
      <c r="A29" s="759"/>
      <c r="B29" s="812">
        <v>12</v>
      </c>
      <c r="C29" s="757">
        <v>8</v>
      </c>
      <c r="D29" s="876"/>
      <c r="E29" s="757"/>
      <c r="F29" s="757"/>
      <c r="G29" s="804"/>
      <c r="H29" s="867"/>
      <c r="I29" s="912" t="str">
        <f t="shared" si="1"/>
        <v>2.3</v>
      </c>
      <c r="J29" s="912" t="str">
        <f t="shared" si="2"/>
        <v>Расходы на химические реагенты, используемые в технологическом процессе</v>
      </c>
      <c r="K29" s="912">
        <f t="shared" si="3"/>
        <v>0</v>
      </c>
      <c r="L29" s="758" t="str">
        <f t="shared" si="4"/>
        <v>2.3</v>
      </c>
      <c r="M29" s="758" t="str">
        <f t="shared" si="5"/>
        <v>Расходы на химические реагенты, используемые в технологическом процессе</v>
      </c>
      <c r="N29" s="758" t="str">
        <f t="shared" si="6"/>
        <v/>
      </c>
      <c r="O29" s="866" t="s">
        <v>633</v>
      </c>
      <c r="P29" s="866" t="s">
        <v>299</v>
      </c>
      <c r="Q29" s="866"/>
      <c r="R29" s="866" t="s">
        <v>299</v>
      </c>
      <c r="S29" s="866"/>
      <c r="T29" s="873" t="s">
        <v>1973</v>
      </c>
      <c r="U29" s="760" t="s">
        <v>1973</v>
      </c>
      <c r="V29" s="760"/>
      <c r="W29" s="760" t="s">
        <v>1973</v>
      </c>
      <c r="X29" s="757"/>
      <c r="Y29" s="908"/>
      <c r="Z29" s="760"/>
      <c r="AA29" s="763"/>
      <c r="AB29" s="760"/>
      <c r="AC29" s="760"/>
      <c r="AD29" s="760"/>
    </row>
    <row r="30" spans="1:30" ht="54" customHeight="1">
      <c r="A30" s="759"/>
      <c r="B30" s="812">
        <v>13</v>
      </c>
      <c r="C30" s="757">
        <v>9</v>
      </c>
      <c r="D30" s="876"/>
      <c r="E30" s="757"/>
      <c r="F30" s="757"/>
      <c r="G30" s="804"/>
      <c r="H30" s="867"/>
      <c r="I30" s="912" t="str">
        <f t="shared" si="1"/>
        <v>2.4</v>
      </c>
      <c r="J30" s="912"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12" t="str">
        <f t="shared" si="3"/>
        <v>Указывается общая сумма расходов на оплату труда и отчислений на социальные нужды основного производственного персонала.</v>
      </c>
      <c r="L30" s="758" t="str">
        <f t="shared" si="4"/>
        <v>2.4</v>
      </c>
      <c r="M30" s="758"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58" t="str">
        <f t="shared" si="6"/>
        <v>Указывается общая сумма расходов на оплату труда и отчислений на социальные нужды основного производственного персонала.</v>
      </c>
      <c r="O30" s="866" t="s">
        <v>635</v>
      </c>
      <c r="P30" s="866" t="s">
        <v>626</v>
      </c>
      <c r="Q30" s="866" t="s">
        <v>635</v>
      </c>
      <c r="R30" s="866" t="s">
        <v>626</v>
      </c>
      <c r="S30" s="866"/>
      <c r="T30" s="873" t="s">
        <v>1974</v>
      </c>
      <c r="U30" s="760" t="s">
        <v>1974</v>
      </c>
      <c r="V30" s="760" t="s">
        <v>1974</v>
      </c>
      <c r="W30" s="760" t="s">
        <v>1974</v>
      </c>
      <c r="X30" s="757"/>
      <c r="Y30" s="908"/>
      <c r="Z30" s="760"/>
      <c r="AA30" s="763" t="s">
        <v>1975</v>
      </c>
      <c r="AB30" s="763" t="s">
        <v>1975</v>
      </c>
      <c r="AC30" s="763" t="s">
        <v>1975</v>
      </c>
      <c r="AD30" s="760"/>
    </row>
    <row r="31" spans="1:30" ht="18" customHeight="1">
      <c r="A31" s="759"/>
      <c r="B31" s="812">
        <v>14</v>
      </c>
      <c r="C31" s="757" t="s">
        <v>1976</v>
      </c>
      <c r="D31" s="876"/>
      <c r="E31" s="757"/>
      <c r="F31" s="757"/>
      <c r="G31" s="804"/>
      <c r="H31" s="867"/>
      <c r="I31" s="912" t="str">
        <f t="shared" si="1"/>
        <v>2.4.1</v>
      </c>
      <c r="J31" s="912" t="str">
        <f t="shared" si="2"/>
        <v>Расходы на оплату труда основного производственного персонала</v>
      </c>
      <c r="K31" s="912">
        <f t="shared" si="3"/>
        <v>0</v>
      </c>
      <c r="L31" s="758" t="str">
        <f t="shared" si="4"/>
        <v>2.4.1</v>
      </c>
      <c r="M31" s="758" t="str">
        <f t="shared" si="5"/>
        <v>Расходы на оплату труда основного производственного персонала</v>
      </c>
      <c r="N31" s="758" t="str">
        <f t="shared" si="6"/>
        <v/>
      </c>
      <c r="O31" s="866" t="s">
        <v>1977</v>
      </c>
      <c r="P31" s="866" t="s">
        <v>629</v>
      </c>
      <c r="Q31" s="866" t="s">
        <v>1977</v>
      </c>
      <c r="R31" s="866" t="s">
        <v>629</v>
      </c>
      <c r="S31" s="866"/>
      <c r="T31" s="874" t="s">
        <v>1978</v>
      </c>
      <c r="U31" s="760" t="s">
        <v>1978</v>
      </c>
      <c r="V31" s="760" t="s">
        <v>1978</v>
      </c>
      <c r="W31" s="760" t="s">
        <v>1978</v>
      </c>
      <c r="X31" s="757"/>
      <c r="Y31" s="908"/>
      <c r="Z31" s="760"/>
      <c r="AA31" s="763"/>
      <c r="AB31" s="763"/>
      <c r="AC31" s="763"/>
      <c r="AD31" s="760"/>
    </row>
    <row r="32" spans="1:30" ht="36" customHeight="1">
      <c r="A32" s="759"/>
      <c r="B32" s="812">
        <v>15</v>
      </c>
      <c r="C32" s="757" t="s">
        <v>1979</v>
      </c>
      <c r="D32" s="876"/>
      <c r="E32" s="757"/>
      <c r="F32" s="757"/>
      <c r="G32" s="804"/>
      <c r="H32" s="867"/>
      <c r="I32" s="912" t="str">
        <f t="shared" si="1"/>
        <v>2.4.2</v>
      </c>
      <c r="J32" s="912" t="str">
        <f t="shared" si="2"/>
        <v>Страховые взносы на обязательное социальное страхование, выплачиваемые из фонда оплаты труда основного производственного персонала</v>
      </c>
      <c r="K32" s="912">
        <f t="shared" si="3"/>
        <v>0</v>
      </c>
      <c r="L32" s="758" t="str">
        <f t="shared" si="4"/>
        <v>2.4.2</v>
      </c>
      <c r="M32" s="758" t="str">
        <f t="shared" si="5"/>
        <v>Страховые взносы на обязательное социальное страхование, выплачиваемые из фонда оплаты труда основного производственного персонала</v>
      </c>
      <c r="N32" s="758" t="str">
        <f t="shared" si="6"/>
        <v/>
      </c>
      <c r="O32" s="866" t="s">
        <v>1980</v>
      </c>
      <c r="P32" s="866" t="s">
        <v>631</v>
      </c>
      <c r="Q32" s="866" t="s">
        <v>1980</v>
      </c>
      <c r="R32" s="866" t="s">
        <v>631</v>
      </c>
      <c r="S32" s="866"/>
      <c r="T32" s="875" t="s">
        <v>1981</v>
      </c>
      <c r="U32" s="760" t="s">
        <v>1981</v>
      </c>
      <c r="V32" s="760" t="s">
        <v>1981</v>
      </c>
      <c r="W32" s="760" t="s">
        <v>1981</v>
      </c>
      <c r="X32" s="757"/>
      <c r="Y32" s="908"/>
      <c r="Z32" s="760"/>
      <c r="AA32" s="763"/>
      <c r="AB32" s="763"/>
      <c r="AC32" s="763"/>
      <c r="AD32" s="760"/>
    </row>
    <row r="33" spans="1:30" ht="45" customHeight="1">
      <c r="A33" s="759"/>
      <c r="B33" s="812">
        <v>16</v>
      </c>
      <c r="C33" s="757">
        <v>10</v>
      </c>
      <c r="D33" s="876"/>
      <c r="E33" s="757"/>
      <c r="F33" s="757"/>
      <c r="G33" s="804"/>
      <c r="H33" s="867"/>
      <c r="I33" s="912" t="str">
        <f t="shared" si="1"/>
        <v>2.5</v>
      </c>
      <c r="J33" s="912"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12" t="str">
        <f t="shared" si="3"/>
        <v>Указывается общая сумма расходов на оплату труда и отчислений на социальные нужды административно-управленческого персонала.</v>
      </c>
      <c r="L33" s="758" t="str">
        <f t="shared" si="4"/>
        <v>2.5</v>
      </c>
      <c r="M33" s="758"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58" t="str">
        <f t="shared" si="6"/>
        <v>Указывается общая сумма расходов на оплату труда и отчислений на социальные нужды административно-управленческого персонала.</v>
      </c>
      <c r="O33" s="866" t="s">
        <v>637</v>
      </c>
      <c r="P33" s="866" t="s">
        <v>633</v>
      </c>
      <c r="Q33" s="866" t="s">
        <v>637</v>
      </c>
      <c r="R33" s="866" t="s">
        <v>633</v>
      </c>
      <c r="S33" s="866"/>
      <c r="T33" s="874" t="s">
        <v>1982</v>
      </c>
      <c r="U33" s="760" t="s">
        <v>1982</v>
      </c>
      <c r="V33" s="760" t="s">
        <v>1982</v>
      </c>
      <c r="W33" s="760" t="s">
        <v>1983</v>
      </c>
      <c r="X33" s="757"/>
      <c r="Y33" s="908"/>
      <c r="Z33" s="760"/>
      <c r="AA33" s="763" t="s">
        <v>1984</v>
      </c>
      <c r="AB33" s="763" t="s">
        <v>1984</v>
      </c>
      <c r="AC33" s="763" t="s">
        <v>1984</v>
      </c>
      <c r="AD33" s="760"/>
    </row>
    <row r="34" spans="1:30" ht="27" customHeight="1">
      <c r="A34" s="759"/>
      <c r="B34" s="812">
        <v>17</v>
      </c>
      <c r="C34" s="757" t="s">
        <v>1985</v>
      </c>
      <c r="D34" s="876"/>
      <c r="E34" s="757"/>
      <c r="F34" s="757"/>
      <c r="G34" s="804"/>
      <c r="H34" s="867"/>
      <c r="I34" s="912" t="str">
        <f t="shared" si="1"/>
        <v>2.5.1</v>
      </c>
      <c r="J34" s="912" t="str">
        <f t="shared" si="2"/>
        <v>Расходы на оплату труда административно-управленческого персонала</v>
      </c>
      <c r="K34" s="912">
        <f t="shared" si="3"/>
        <v>0</v>
      </c>
      <c r="L34" s="758" t="str">
        <f t="shared" si="4"/>
        <v>2.5.1</v>
      </c>
      <c r="M34" s="758" t="str">
        <f t="shared" si="5"/>
        <v>Расходы на оплату труда административно-управленческого персонала</v>
      </c>
      <c r="N34" s="758" t="str">
        <f t="shared" si="6"/>
        <v/>
      </c>
      <c r="O34" s="866" t="s">
        <v>1986</v>
      </c>
      <c r="P34" s="866" t="s">
        <v>1967</v>
      </c>
      <c r="Q34" s="866" t="s">
        <v>1986</v>
      </c>
      <c r="R34" s="866" t="s">
        <v>1967</v>
      </c>
      <c r="S34" s="866"/>
      <c r="T34" s="875" t="s">
        <v>1987</v>
      </c>
      <c r="U34" s="760" t="s">
        <v>1987</v>
      </c>
      <c r="V34" s="760" t="s">
        <v>1987</v>
      </c>
      <c r="W34" s="760" t="s">
        <v>1988</v>
      </c>
      <c r="X34" s="757"/>
      <c r="Y34" s="908"/>
      <c r="Z34" s="760"/>
      <c r="AA34" s="763"/>
      <c r="AB34" s="760"/>
      <c r="AC34" s="760"/>
      <c r="AD34" s="760"/>
    </row>
    <row r="35" spans="1:30" ht="45" customHeight="1">
      <c r="A35" s="759"/>
      <c r="B35" s="812">
        <v>18</v>
      </c>
      <c r="C35" s="757" t="s">
        <v>1989</v>
      </c>
      <c r="D35" s="876"/>
      <c r="E35" s="757"/>
      <c r="F35" s="757"/>
      <c r="G35" s="804"/>
      <c r="H35" s="867"/>
      <c r="I35" s="912" t="str">
        <f t="shared" si="1"/>
        <v>2.5.2</v>
      </c>
      <c r="J35" s="912"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12">
        <f t="shared" si="3"/>
        <v>0</v>
      </c>
      <c r="L35" s="758" t="str">
        <f t="shared" si="4"/>
        <v>2.5.2</v>
      </c>
      <c r="M35" s="758"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58" t="str">
        <f t="shared" si="6"/>
        <v/>
      </c>
      <c r="O35" s="866" t="s">
        <v>1990</v>
      </c>
      <c r="P35" s="866" t="s">
        <v>1970</v>
      </c>
      <c r="Q35" s="866" t="s">
        <v>1990</v>
      </c>
      <c r="R35" s="866" t="s">
        <v>1970</v>
      </c>
      <c r="S35" s="866"/>
      <c r="T35" s="873" t="s">
        <v>1991</v>
      </c>
      <c r="U35" s="760" t="s">
        <v>1991</v>
      </c>
      <c r="V35" s="760" t="s">
        <v>1991</v>
      </c>
      <c r="W35" s="760" t="s">
        <v>1991</v>
      </c>
      <c r="X35" s="757"/>
      <c r="Y35" s="908"/>
      <c r="Z35" s="760"/>
      <c r="AA35" s="763"/>
      <c r="AB35" s="760"/>
      <c r="AC35" s="760"/>
      <c r="AD35" s="760"/>
    </row>
    <row r="36" spans="1:30" ht="18" customHeight="1">
      <c r="A36" s="759"/>
      <c r="B36" s="812">
        <v>19</v>
      </c>
      <c r="C36" s="757">
        <v>11</v>
      </c>
      <c r="D36" s="876"/>
      <c r="E36" s="757"/>
      <c r="F36" s="757"/>
      <c r="G36" s="804"/>
      <c r="H36" s="867"/>
      <c r="I36" s="912" t="str">
        <f t="shared" si="1"/>
        <v>2.6</v>
      </c>
      <c r="J36" s="912" t="str">
        <f t="shared" si="2"/>
        <v>Расходы на амортизацию основных средств и нематериальных активов</v>
      </c>
      <c r="K36" s="912">
        <f t="shared" si="3"/>
        <v>0</v>
      </c>
      <c r="L36" s="758" t="str">
        <f t="shared" si="4"/>
        <v>2.6</v>
      </c>
      <c r="M36" s="758" t="str">
        <f t="shared" si="5"/>
        <v>Расходы на амортизацию основных средств и нематериальных активов</v>
      </c>
      <c r="N36" s="758" t="str">
        <f t="shared" si="6"/>
        <v/>
      </c>
      <c r="O36" s="866" t="s">
        <v>639</v>
      </c>
      <c r="P36" s="866" t="s">
        <v>635</v>
      </c>
      <c r="Q36" s="866" t="s">
        <v>639</v>
      </c>
      <c r="R36" s="866" t="s">
        <v>635</v>
      </c>
      <c r="S36" s="866"/>
      <c r="T36" s="873" t="s">
        <v>1992</v>
      </c>
      <c r="U36" s="760" t="s">
        <v>1992</v>
      </c>
      <c r="V36" s="760" t="s">
        <v>1992</v>
      </c>
      <c r="W36" s="760" t="s">
        <v>1992</v>
      </c>
      <c r="X36" s="757"/>
      <c r="Y36" s="908"/>
      <c r="Z36" s="760"/>
      <c r="AA36" s="763"/>
      <c r="AB36" s="760"/>
      <c r="AC36" s="760"/>
      <c r="AD36" s="760"/>
    </row>
    <row r="37" spans="1:30" ht="18" customHeight="1">
      <c r="A37" s="759"/>
      <c r="B37" s="812">
        <v>20</v>
      </c>
      <c r="C37" s="757" t="s">
        <v>1993</v>
      </c>
      <c r="D37" s="876"/>
      <c r="E37" s="757"/>
      <c r="F37" s="757"/>
      <c r="G37" s="804"/>
      <c r="H37" s="867"/>
      <c r="I37" s="912" t="str">
        <f t="shared" si="1"/>
        <v>2.6.1</v>
      </c>
      <c r="J37" s="912" t="str">
        <f t="shared" si="2"/>
        <v>Расходы на амортизацию основных средств</v>
      </c>
      <c r="K37" s="912">
        <f t="shared" si="3"/>
        <v>0</v>
      </c>
      <c r="L37" s="758" t="str">
        <f t="shared" si="4"/>
        <v>2.6.1</v>
      </c>
      <c r="M37" s="758" t="str">
        <f t="shared" si="5"/>
        <v>Расходы на амортизацию основных средств</v>
      </c>
      <c r="N37" s="758" t="str">
        <f t="shared" si="6"/>
        <v/>
      </c>
      <c r="O37" s="866" t="s">
        <v>1994</v>
      </c>
      <c r="P37" s="866" t="s">
        <v>1977</v>
      </c>
      <c r="Q37" s="866" t="s">
        <v>1994</v>
      </c>
      <c r="R37" s="866" t="s">
        <v>1977</v>
      </c>
      <c r="S37" s="866"/>
      <c r="T37" s="873" t="s">
        <v>1995</v>
      </c>
      <c r="U37" s="760" t="s">
        <v>1995</v>
      </c>
      <c r="V37" s="760" t="s">
        <v>1995</v>
      </c>
      <c r="W37" s="760" t="s">
        <v>1995</v>
      </c>
      <c r="X37" s="757"/>
      <c r="Y37" s="908"/>
      <c r="Z37" s="760"/>
      <c r="AA37" s="763"/>
      <c r="AB37" s="760"/>
      <c r="AC37" s="760"/>
      <c r="AD37" s="760"/>
    </row>
    <row r="38" spans="1:30" ht="18" customHeight="1">
      <c r="A38" s="759"/>
      <c r="B38" s="812">
        <v>21</v>
      </c>
      <c r="C38" s="757" t="s">
        <v>1996</v>
      </c>
      <c r="D38" s="876"/>
      <c r="E38" s="757"/>
      <c r="F38" s="757"/>
      <c r="G38" s="804"/>
      <c r="H38" s="867"/>
      <c r="I38" s="912" t="str">
        <f t="shared" si="1"/>
        <v>2.6.2</v>
      </c>
      <c r="J38" s="912" t="str">
        <f t="shared" si="2"/>
        <v>Расходы на амортизацию нематериальных активов</v>
      </c>
      <c r="K38" s="912">
        <f t="shared" si="3"/>
        <v>0</v>
      </c>
      <c r="L38" s="758" t="str">
        <f t="shared" si="4"/>
        <v>2.6.2</v>
      </c>
      <c r="M38" s="758" t="str">
        <f t="shared" si="5"/>
        <v>Расходы на амортизацию нематериальных активов</v>
      </c>
      <c r="N38" s="758" t="str">
        <f t="shared" si="6"/>
        <v/>
      </c>
      <c r="O38" s="866" t="s">
        <v>1997</v>
      </c>
      <c r="P38" s="866" t="s">
        <v>1980</v>
      </c>
      <c r="Q38" s="866" t="s">
        <v>1997</v>
      </c>
      <c r="R38" s="866" t="s">
        <v>1980</v>
      </c>
      <c r="S38" s="866"/>
      <c r="T38" s="873" t="s">
        <v>1998</v>
      </c>
      <c r="U38" s="760" t="s">
        <v>1998</v>
      </c>
      <c r="V38" s="760" t="s">
        <v>1998</v>
      </c>
      <c r="W38" s="760" t="s">
        <v>1998</v>
      </c>
      <c r="X38" s="757"/>
      <c r="Y38" s="908"/>
      <c r="Z38" s="760"/>
      <c r="AA38" s="763"/>
      <c r="AB38" s="760"/>
      <c r="AC38" s="760"/>
      <c r="AD38" s="760"/>
    </row>
    <row r="39" spans="1:30" ht="36" customHeight="1">
      <c r="A39" s="759"/>
      <c r="B39" s="812">
        <v>22</v>
      </c>
      <c r="C39" s="757">
        <v>12</v>
      </c>
      <c r="D39" s="876"/>
      <c r="E39" s="757"/>
      <c r="F39" s="757"/>
      <c r="G39" s="804"/>
      <c r="H39" s="867"/>
      <c r="I39" s="912" t="str">
        <f t="shared" si="1"/>
        <v>2.7</v>
      </c>
      <c r="J39" s="912" t="str">
        <f t="shared" si="2"/>
        <v>Расходы на аренду имущества, используемого для осуществления регулируемых видов деятельности в сфере холодного водоснабжения</v>
      </c>
      <c r="K39" s="912">
        <f t="shared" si="3"/>
        <v>0</v>
      </c>
      <c r="L39" s="758" t="str">
        <f t="shared" si="4"/>
        <v>2.7</v>
      </c>
      <c r="M39" s="758" t="str">
        <f t="shared" si="5"/>
        <v>Расходы на аренду имущества, используемого для осуществления регулируемых видов деятельности в сфере холодного водоснабжения</v>
      </c>
      <c r="N39" s="758" t="str">
        <f t="shared" si="6"/>
        <v/>
      </c>
      <c r="O39" s="866" t="s">
        <v>643</v>
      </c>
      <c r="P39" s="866" t="s">
        <v>637</v>
      </c>
      <c r="Q39" s="866" t="s">
        <v>643</v>
      </c>
      <c r="R39" s="866" t="s">
        <v>637</v>
      </c>
      <c r="S39" s="866"/>
      <c r="T39" s="873" t="s">
        <v>1999</v>
      </c>
      <c r="U39" s="760" t="s">
        <v>2000</v>
      </c>
      <c r="V39" s="760" t="s">
        <v>2001</v>
      </c>
      <c r="W39" s="760" t="s">
        <v>2002</v>
      </c>
      <c r="X39" s="757"/>
      <c r="Y39" s="908"/>
      <c r="Z39" s="760"/>
      <c r="AA39" s="763"/>
      <c r="AB39" s="760"/>
      <c r="AC39" s="760"/>
      <c r="AD39" s="760"/>
    </row>
    <row r="40" spans="1:30" ht="18" customHeight="1">
      <c r="A40" s="759"/>
      <c r="B40" s="812">
        <v>23</v>
      </c>
      <c r="C40" s="757">
        <v>13</v>
      </c>
      <c r="D40" s="876"/>
      <c r="E40" s="757"/>
      <c r="F40" s="757"/>
      <c r="G40" s="757"/>
      <c r="H40" s="807"/>
      <c r="I40" s="912" t="str">
        <f t="shared" si="1"/>
        <v>2.8</v>
      </c>
      <c r="J40" s="912" t="str">
        <f t="shared" si="2"/>
        <v>Общепроизводственные расходы, в том числе:</v>
      </c>
      <c r="K40" s="912" t="str">
        <f t="shared" si="3"/>
        <v>Указывается общая сумма общепроизводственных расходов.</v>
      </c>
      <c r="L40" s="758" t="str">
        <f t="shared" si="4"/>
        <v>2.8</v>
      </c>
      <c r="M40" s="758" t="str">
        <f t="shared" si="5"/>
        <v>Общепроизводственные расходы, в том числе:</v>
      </c>
      <c r="N40" s="758" t="str">
        <f t="shared" si="6"/>
        <v>Указывается общая сумма общепроизводственных расходов.</v>
      </c>
      <c r="O40" s="866" t="s">
        <v>2003</v>
      </c>
      <c r="P40" s="866" t="s">
        <v>639</v>
      </c>
      <c r="Q40" s="866" t="s">
        <v>2003</v>
      </c>
      <c r="R40" s="866" t="s">
        <v>639</v>
      </c>
      <c r="S40" s="866"/>
      <c r="T40" s="757" t="s">
        <v>2004</v>
      </c>
      <c r="U40" s="757" t="s">
        <v>2004</v>
      </c>
      <c r="V40" s="757" t="s">
        <v>2004</v>
      </c>
      <c r="W40" s="757" t="s">
        <v>2004</v>
      </c>
      <c r="X40" s="757"/>
      <c r="Y40" s="908"/>
      <c r="Z40" s="760" t="s">
        <v>2005</v>
      </c>
      <c r="AA40" s="763" t="s">
        <v>2005</v>
      </c>
      <c r="AB40" s="763" t="s">
        <v>2005</v>
      </c>
      <c r="AC40" s="763" t="s">
        <v>2005</v>
      </c>
      <c r="AD40" s="760"/>
    </row>
    <row r="41" spans="1:30" ht="27" customHeight="1">
      <c r="A41" s="759"/>
      <c r="B41" s="812">
        <v>24</v>
      </c>
      <c r="C41" s="757" t="s">
        <v>2006</v>
      </c>
      <c r="D41" s="876"/>
      <c r="E41" s="757"/>
      <c r="F41" s="757"/>
      <c r="G41" s="757"/>
      <c r="H41" s="804"/>
      <c r="I41" s="912" t="str">
        <f t="shared" si="1"/>
        <v>2.8.1</v>
      </c>
      <c r="J41" s="912" t="str">
        <f t="shared" si="2"/>
        <v>Расходы на текущий ремонт</v>
      </c>
      <c r="K41" s="912" t="str">
        <f t="shared" si="3"/>
        <v>Указываются расходы на текущий ремонт, отнесенные к общепроизводственным расходам.</v>
      </c>
      <c r="L41" s="758" t="str">
        <f t="shared" si="4"/>
        <v>2.8.1</v>
      </c>
      <c r="M41" s="758" t="str">
        <f t="shared" si="5"/>
        <v>Расходы на текущий ремонт</v>
      </c>
      <c r="N41" s="758" t="str">
        <f t="shared" si="6"/>
        <v>Указываются расходы на текущий ремонт, отнесенные к общепроизводственным расходам.</v>
      </c>
      <c r="O41" s="866" t="s">
        <v>2007</v>
      </c>
      <c r="P41" s="866" t="s">
        <v>1994</v>
      </c>
      <c r="Q41" s="866" t="s">
        <v>2007</v>
      </c>
      <c r="R41" s="866" t="s">
        <v>1994</v>
      </c>
      <c r="S41" s="866"/>
      <c r="T41" s="757" t="s">
        <v>2008</v>
      </c>
      <c r="U41" s="757" t="s">
        <v>2008</v>
      </c>
      <c r="V41" s="757" t="s">
        <v>2008</v>
      </c>
      <c r="W41" s="757" t="s">
        <v>2008</v>
      </c>
      <c r="X41" s="757"/>
      <c r="Y41" s="908"/>
      <c r="Z41" s="760" t="s">
        <v>2009</v>
      </c>
      <c r="AA41" s="760" t="s">
        <v>2009</v>
      </c>
      <c r="AB41" s="760" t="s">
        <v>2009</v>
      </c>
      <c r="AC41" s="760" t="s">
        <v>2009</v>
      </c>
      <c r="AD41" s="760"/>
    </row>
    <row r="42" spans="1:30" ht="27" customHeight="1">
      <c r="A42" s="759"/>
      <c r="B42" s="812">
        <v>25</v>
      </c>
      <c r="C42" s="757" t="s">
        <v>2010</v>
      </c>
      <c r="D42" s="876"/>
      <c r="E42" s="757"/>
      <c r="F42" s="757"/>
      <c r="G42" s="757"/>
      <c r="H42" s="804"/>
      <c r="I42" s="912" t="str">
        <f t="shared" si="1"/>
        <v>2.8.2</v>
      </c>
      <c r="J42" s="912" t="str">
        <f t="shared" si="2"/>
        <v>Расходы на капитальный ремонт</v>
      </c>
      <c r="K42" s="912" t="str">
        <f t="shared" si="3"/>
        <v>Указываются расходы на капитальный ремонт, отнесенные к общепроизводственным расходам.</v>
      </c>
      <c r="L42" s="758" t="str">
        <f t="shared" si="4"/>
        <v>2.8.2</v>
      </c>
      <c r="M42" s="758" t="str">
        <f t="shared" si="5"/>
        <v>Расходы на капитальный ремонт</v>
      </c>
      <c r="N42" s="758" t="str">
        <f t="shared" si="6"/>
        <v>Указываются расходы на капитальный ремонт, отнесенные к общепроизводственным расходам.</v>
      </c>
      <c r="O42" s="866" t="s">
        <v>2011</v>
      </c>
      <c r="P42" s="866" t="s">
        <v>1997</v>
      </c>
      <c r="Q42" s="866" t="s">
        <v>2011</v>
      </c>
      <c r="R42" s="866" t="s">
        <v>1997</v>
      </c>
      <c r="S42" s="866"/>
      <c r="T42" s="757" t="s">
        <v>2012</v>
      </c>
      <c r="U42" s="757" t="s">
        <v>2012</v>
      </c>
      <c r="V42" s="757" t="s">
        <v>2012</v>
      </c>
      <c r="W42" s="757" t="s">
        <v>2012</v>
      </c>
      <c r="X42" s="757"/>
      <c r="Y42" s="908"/>
      <c r="Z42" s="760" t="s">
        <v>2013</v>
      </c>
      <c r="AA42" s="760" t="s">
        <v>2013</v>
      </c>
      <c r="AB42" s="760" t="s">
        <v>2013</v>
      </c>
      <c r="AC42" s="760" t="s">
        <v>2013</v>
      </c>
      <c r="AD42" s="760"/>
    </row>
    <row r="43" spans="1:30" ht="18" customHeight="1">
      <c r="A43" s="759"/>
      <c r="B43" s="812">
        <v>26</v>
      </c>
      <c r="C43" s="757">
        <v>14</v>
      </c>
      <c r="D43" s="876"/>
      <c r="E43" s="757"/>
      <c r="F43" s="757"/>
      <c r="G43" s="757"/>
      <c r="H43" s="804"/>
      <c r="I43" s="912" t="str">
        <f t="shared" si="1"/>
        <v>2.9</v>
      </c>
      <c r="J43" s="912" t="str">
        <f t="shared" si="2"/>
        <v>Общехозяйственные расходы, в том числе:</v>
      </c>
      <c r="K43" s="912" t="str">
        <f t="shared" si="3"/>
        <v>Указывается общая сумма общехозяйственных расходов.</v>
      </c>
      <c r="L43" s="758" t="str">
        <f t="shared" si="4"/>
        <v>2.9</v>
      </c>
      <c r="M43" s="758" t="str">
        <f t="shared" si="5"/>
        <v>Общехозяйственные расходы, в том числе:</v>
      </c>
      <c r="N43" s="758" t="str">
        <f t="shared" si="6"/>
        <v>Указывается общая сумма общехозяйственных расходов.</v>
      </c>
      <c r="O43" s="866" t="s">
        <v>2014</v>
      </c>
      <c r="P43" s="866" t="s">
        <v>643</v>
      </c>
      <c r="Q43" s="866" t="s">
        <v>2014</v>
      </c>
      <c r="R43" s="866" t="s">
        <v>643</v>
      </c>
      <c r="S43" s="866"/>
      <c r="T43" s="757" t="s">
        <v>2015</v>
      </c>
      <c r="U43" s="757" t="s">
        <v>2015</v>
      </c>
      <c r="V43" s="757" t="s">
        <v>2015</v>
      </c>
      <c r="W43" s="757" t="s">
        <v>2015</v>
      </c>
      <c r="X43" s="757"/>
      <c r="Y43" s="908"/>
      <c r="Z43" s="760" t="s">
        <v>2016</v>
      </c>
      <c r="AA43" s="760" t="s">
        <v>2016</v>
      </c>
      <c r="AB43" s="760" t="s">
        <v>2016</v>
      </c>
      <c r="AC43" s="760" t="s">
        <v>2016</v>
      </c>
      <c r="AD43" s="760"/>
    </row>
    <row r="44" spans="1:30" ht="27" customHeight="1">
      <c r="A44" s="759"/>
      <c r="B44" s="812">
        <v>27</v>
      </c>
      <c r="C44" s="757" t="s">
        <v>2017</v>
      </c>
      <c r="D44" s="876"/>
      <c r="E44" s="757"/>
      <c r="F44" s="757"/>
      <c r="G44" s="757"/>
      <c r="H44" s="804"/>
      <c r="I44" s="912" t="str">
        <f t="shared" si="1"/>
        <v>2.9.1</v>
      </c>
      <c r="J44" s="912" t="str">
        <f t="shared" si="2"/>
        <v>Расходы на текущий ремонт</v>
      </c>
      <c r="K44" s="912" t="str">
        <f t="shared" si="3"/>
        <v>Указываются расходы на текущий ремонт, отнесенные к общехозяйственным расходам.</v>
      </c>
      <c r="L44" s="758" t="str">
        <f t="shared" si="4"/>
        <v>2.9.1</v>
      </c>
      <c r="M44" s="758" t="str">
        <f t="shared" si="5"/>
        <v>Расходы на текущий ремонт</v>
      </c>
      <c r="N44" s="758" t="str">
        <f t="shared" si="6"/>
        <v>Указываются расходы на текущий ремонт, отнесенные к общехозяйственным расходам.</v>
      </c>
      <c r="O44" s="866" t="s">
        <v>2018</v>
      </c>
      <c r="P44" s="866" t="s">
        <v>2019</v>
      </c>
      <c r="Q44" s="866" t="s">
        <v>2018</v>
      </c>
      <c r="R44" s="866" t="s">
        <v>2019</v>
      </c>
      <c r="S44" s="866"/>
      <c r="T44" s="757" t="s">
        <v>2008</v>
      </c>
      <c r="U44" s="757" t="s">
        <v>2008</v>
      </c>
      <c r="V44" s="757" t="s">
        <v>2008</v>
      </c>
      <c r="W44" s="757" t="s">
        <v>2008</v>
      </c>
      <c r="X44" s="757"/>
      <c r="Y44" s="908"/>
      <c r="Z44" s="760" t="s">
        <v>2020</v>
      </c>
      <c r="AA44" s="760" t="s">
        <v>2020</v>
      </c>
      <c r="AB44" s="760" t="s">
        <v>2020</v>
      </c>
      <c r="AC44" s="760" t="s">
        <v>2020</v>
      </c>
      <c r="AD44" s="760"/>
    </row>
    <row r="45" spans="1:30" ht="27" customHeight="1">
      <c r="A45" s="759"/>
      <c r="B45" s="812">
        <v>28</v>
      </c>
      <c r="C45" s="757" t="s">
        <v>2021</v>
      </c>
      <c r="D45" s="876"/>
      <c r="E45" s="757"/>
      <c r="F45" s="757"/>
      <c r="G45" s="757"/>
      <c r="H45" s="804"/>
      <c r="I45" s="912" t="str">
        <f t="shared" si="1"/>
        <v>2.9.2</v>
      </c>
      <c r="J45" s="912" t="str">
        <f t="shared" si="2"/>
        <v>Расходы на капитальный ремонт</v>
      </c>
      <c r="K45" s="912" t="str">
        <f t="shared" si="3"/>
        <v>Указываются расходы на капитальный ремонт, отнесенные к общехозяйственным расходам.</v>
      </c>
      <c r="L45" s="758" t="str">
        <f t="shared" si="4"/>
        <v>2.9.2</v>
      </c>
      <c r="M45" s="758" t="str">
        <f t="shared" si="5"/>
        <v>Расходы на капитальный ремонт</v>
      </c>
      <c r="N45" s="758" t="str">
        <f t="shared" si="6"/>
        <v>Указываются расходы на капитальный ремонт, отнесенные к общехозяйственным расходам.</v>
      </c>
      <c r="O45" s="866" t="s">
        <v>2022</v>
      </c>
      <c r="P45" s="866" t="s">
        <v>2023</v>
      </c>
      <c r="Q45" s="866" t="s">
        <v>2022</v>
      </c>
      <c r="R45" s="866" t="s">
        <v>2023</v>
      </c>
      <c r="S45" s="866"/>
      <c r="T45" s="757" t="s">
        <v>2012</v>
      </c>
      <c r="U45" s="757" t="s">
        <v>2012</v>
      </c>
      <c r="V45" s="757" t="s">
        <v>2012</v>
      </c>
      <c r="W45" s="757" t="s">
        <v>2012</v>
      </c>
      <c r="X45" s="757"/>
      <c r="Y45" s="908"/>
      <c r="Z45" s="760" t="s">
        <v>2024</v>
      </c>
      <c r="AA45" s="760" t="s">
        <v>2024</v>
      </c>
      <c r="AB45" s="760" t="s">
        <v>2024</v>
      </c>
      <c r="AC45" s="760" t="s">
        <v>2024</v>
      </c>
      <c r="AD45" s="760"/>
    </row>
    <row r="46" spans="1:30" ht="54" customHeight="1">
      <c r="A46" s="759"/>
      <c r="B46" s="812">
        <v>29</v>
      </c>
      <c r="C46" s="757">
        <v>15</v>
      </c>
      <c r="D46" s="876"/>
      <c r="E46" s="757"/>
      <c r="F46" s="757"/>
      <c r="G46" s="757"/>
      <c r="H46" s="804"/>
      <c r="I46" s="912" t="str">
        <f t="shared" si="1"/>
        <v>2.10</v>
      </c>
      <c r="J46" s="912" t="str">
        <f t="shared" si="2"/>
        <v>Расходы на капитальный и текущий ремонт основных средств</v>
      </c>
      <c r="K46" s="912"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58" t="str">
        <f t="shared" si="4"/>
        <v>2.10</v>
      </c>
      <c r="M46" s="758" t="str">
        <f t="shared" si="5"/>
        <v>Расходы на капитальный и текущий ремонт основных средств</v>
      </c>
      <c r="N46" s="758"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66" t="s">
        <v>2025</v>
      </c>
      <c r="P46" s="866" t="s">
        <v>2003</v>
      </c>
      <c r="Q46" s="866" t="s">
        <v>2025</v>
      </c>
      <c r="R46" s="866" t="s">
        <v>2003</v>
      </c>
      <c r="S46" s="866"/>
      <c r="T46" s="757" t="s">
        <v>2026</v>
      </c>
      <c r="U46" s="757" t="s">
        <v>2026</v>
      </c>
      <c r="V46" s="757" t="s">
        <v>2026</v>
      </c>
      <c r="W46" s="757" t="s">
        <v>2026</v>
      </c>
      <c r="X46" s="757"/>
      <c r="Y46" s="908"/>
      <c r="Z46" s="760" t="s">
        <v>2027</v>
      </c>
      <c r="AA46" s="760" t="s">
        <v>2028</v>
      </c>
      <c r="AB46" s="760" t="s">
        <v>2028</v>
      </c>
      <c r="AC46" s="760" t="s">
        <v>2028</v>
      </c>
      <c r="AD46" s="760"/>
    </row>
    <row r="47" spans="1:30" ht="54" customHeight="1">
      <c r="A47" s="759"/>
      <c r="B47" s="812">
        <v>30</v>
      </c>
      <c r="C47" s="757" t="s">
        <v>2029</v>
      </c>
      <c r="D47" s="876"/>
      <c r="E47" s="757"/>
      <c r="F47" s="757"/>
      <c r="G47" s="757"/>
      <c r="H47" s="804"/>
      <c r="I47" s="912" t="str">
        <f t="shared" si="1"/>
        <v>2.10.1</v>
      </c>
      <c r="J47" s="912"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12">
        <f t="shared" si="3"/>
        <v>0</v>
      </c>
      <c r="L47" s="758" t="str">
        <f t="shared" si="4"/>
        <v>2.10.1</v>
      </c>
      <c r="M47" s="758"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58" t="str">
        <f t="shared" si="6"/>
        <v/>
      </c>
      <c r="O47" s="866" t="s">
        <v>2030</v>
      </c>
      <c r="P47" s="866" t="s">
        <v>2007</v>
      </c>
      <c r="Q47" s="866" t="s">
        <v>2030</v>
      </c>
      <c r="R47" s="866" t="s">
        <v>2007</v>
      </c>
      <c r="S47" s="866"/>
      <c r="T47" s="757" t="s">
        <v>2031</v>
      </c>
      <c r="U47" s="757" t="s">
        <v>2031</v>
      </c>
      <c r="V47" s="757" t="s">
        <v>2031</v>
      </c>
      <c r="W47" s="757" t="s">
        <v>2031</v>
      </c>
      <c r="X47" s="757"/>
      <c r="Y47" s="908"/>
      <c r="Z47" s="760"/>
      <c r="AA47" s="763"/>
      <c r="AB47" s="763"/>
      <c r="AC47" s="763"/>
      <c r="AD47" s="760"/>
    </row>
    <row r="48" spans="1:30" ht="54" customHeight="1">
      <c r="A48" s="759"/>
      <c r="B48" s="812">
        <v>31</v>
      </c>
      <c r="C48" s="757">
        <v>16</v>
      </c>
      <c r="D48" s="876"/>
      <c r="E48" s="757"/>
      <c r="F48" s="757"/>
      <c r="G48" s="757"/>
      <c r="H48" s="804"/>
      <c r="I48" s="912" t="str">
        <f t="shared" si="1"/>
        <v>2.11</v>
      </c>
      <c r="J48" s="912"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12"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58" t="str">
        <f t="shared" si="4"/>
        <v>2.11</v>
      </c>
      <c r="M48" s="758"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58"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66"/>
      <c r="P48" s="866" t="s">
        <v>2014</v>
      </c>
      <c r="Q48" s="866" t="s">
        <v>2032</v>
      </c>
      <c r="R48" s="866" t="s">
        <v>2014</v>
      </c>
      <c r="S48" s="866"/>
      <c r="T48" s="757"/>
      <c r="U48" s="757" t="s">
        <v>2033</v>
      </c>
      <c r="V48" s="757" t="s">
        <v>2034</v>
      </c>
      <c r="W48" s="757" t="s">
        <v>2034</v>
      </c>
      <c r="X48" s="757"/>
      <c r="Y48" s="908"/>
      <c r="Z48" s="760"/>
      <c r="AA48" s="763" t="s">
        <v>2028</v>
      </c>
      <c r="AB48" s="763" t="s">
        <v>2028</v>
      </c>
      <c r="AC48" s="763" t="s">
        <v>2028</v>
      </c>
      <c r="AD48" s="760"/>
    </row>
    <row r="49" spans="1:30" ht="54" customHeight="1">
      <c r="A49" s="759"/>
      <c r="B49" s="812">
        <v>32</v>
      </c>
      <c r="C49" s="757" t="s">
        <v>2035</v>
      </c>
      <c r="D49" s="876"/>
      <c r="E49" s="757"/>
      <c r="F49" s="757"/>
      <c r="G49" s="757"/>
      <c r="H49" s="804"/>
      <c r="I49" s="912" t="str">
        <f t="shared" si="1"/>
        <v>2.11.1</v>
      </c>
      <c r="J49" s="912"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12">
        <f t="shared" si="3"/>
        <v>0</v>
      </c>
      <c r="L49" s="758" t="str">
        <f t="shared" si="4"/>
        <v>2.11.1</v>
      </c>
      <c r="M49" s="758"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58" t="str">
        <f t="shared" si="6"/>
        <v/>
      </c>
      <c r="O49" s="866"/>
      <c r="P49" s="866" t="s">
        <v>2018</v>
      </c>
      <c r="Q49" s="866" t="s">
        <v>2036</v>
      </c>
      <c r="R49" s="866" t="s">
        <v>2018</v>
      </c>
      <c r="S49" s="866"/>
      <c r="T49" s="757"/>
      <c r="U49" s="757" t="s">
        <v>2031</v>
      </c>
      <c r="V49" s="757" t="s">
        <v>2031</v>
      </c>
      <c r="W49" s="757" t="s">
        <v>2031</v>
      </c>
      <c r="X49" s="757"/>
      <c r="Y49" s="908"/>
      <c r="Z49" s="760"/>
      <c r="AA49" s="763"/>
      <c r="AB49" s="763"/>
      <c r="AC49" s="763"/>
      <c r="AD49" s="760"/>
    </row>
    <row r="50" spans="1:30" ht="126" customHeight="1">
      <c r="A50" s="759"/>
      <c r="B50" s="812">
        <v>33</v>
      </c>
      <c r="C50" s="757">
        <v>17</v>
      </c>
      <c r="D50" s="876"/>
      <c r="E50" s="757"/>
      <c r="F50" s="757"/>
      <c r="G50" s="757"/>
      <c r="H50" s="804"/>
      <c r="I50" s="912" t="str">
        <f t="shared" ref="I50:I81" si="7">INDEX(TEMPLATE_NUMBER_POINT_FHD,B50,MATCH(TEMPLATE_SPHERE,TEMPLATE_SPHERE_LIST_FOR_NOTE,0))</f>
        <v>2.12</v>
      </c>
      <c r="J50" s="912"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12"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58" t="str">
        <f t="shared" ref="L50:L81" si="10">IF(I50=0,"",I50)</f>
        <v>2.12</v>
      </c>
      <c r="M50" s="758"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58"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66" t="s">
        <v>2032</v>
      </c>
      <c r="P50" s="866" t="s">
        <v>2025</v>
      </c>
      <c r="Q50" s="866" t="s">
        <v>2037</v>
      </c>
      <c r="R50" s="866" t="s">
        <v>2025</v>
      </c>
      <c r="S50" s="866"/>
      <c r="T50" s="757" t="s">
        <v>2038</v>
      </c>
      <c r="U50" s="757" t="s">
        <v>2039</v>
      </c>
      <c r="V50" s="757" t="s">
        <v>2040</v>
      </c>
      <c r="W50" s="757" t="s">
        <v>2041</v>
      </c>
      <c r="X50" s="757"/>
      <c r="Y50" s="908"/>
      <c r="Z50" s="760" t="s">
        <v>2042</v>
      </c>
      <c r="AA50" s="763" t="s">
        <v>2043</v>
      </c>
      <c r="AB50" s="763" t="s">
        <v>2043</v>
      </c>
      <c r="AC50" s="763" t="s">
        <v>2043</v>
      </c>
      <c r="AD50" s="760"/>
    </row>
    <row r="51" spans="1:30" ht="27" customHeight="1">
      <c r="A51" s="759"/>
      <c r="B51" s="812">
        <v>34</v>
      </c>
      <c r="C51" s="757" t="s">
        <v>2044</v>
      </c>
      <c r="D51" s="876"/>
      <c r="E51" s="757"/>
      <c r="F51" s="757"/>
      <c r="G51" s="757"/>
      <c r="H51" s="804"/>
      <c r="I51" s="912">
        <f t="shared" si="7"/>
        <v>0</v>
      </c>
      <c r="J51" s="912">
        <f t="shared" si="8"/>
        <v>0</v>
      </c>
      <c r="K51" s="912">
        <f t="shared" si="9"/>
        <v>0</v>
      </c>
      <c r="L51" s="758" t="str">
        <f t="shared" si="10"/>
        <v/>
      </c>
      <c r="M51" s="758" t="str">
        <f t="shared" si="11"/>
        <v/>
      </c>
      <c r="N51" s="758" t="str">
        <f t="shared" si="12"/>
        <v/>
      </c>
      <c r="O51" s="866" t="s">
        <v>89</v>
      </c>
      <c r="P51" s="866"/>
      <c r="Q51" s="866"/>
      <c r="R51" s="866"/>
      <c r="S51" s="866"/>
      <c r="T51" s="757" t="s">
        <v>2045</v>
      </c>
      <c r="U51" s="757"/>
      <c r="V51" s="757"/>
      <c r="W51" s="757"/>
      <c r="X51" s="757"/>
      <c r="Y51" s="908"/>
      <c r="Z51" s="760"/>
      <c r="AA51" s="763"/>
      <c r="AB51" s="763"/>
      <c r="AC51" s="763"/>
      <c r="AD51" s="760"/>
    </row>
    <row r="52" spans="1:30" ht="36" customHeight="1">
      <c r="A52" s="759"/>
      <c r="B52" s="812">
        <v>35</v>
      </c>
      <c r="C52" s="757" t="s">
        <v>1937</v>
      </c>
      <c r="D52" s="876" t="s">
        <v>1937</v>
      </c>
      <c r="E52" s="757" t="s">
        <v>1937</v>
      </c>
      <c r="F52" s="757" t="s">
        <v>1937</v>
      </c>
      <c r="G52" s="757"/>
      <c r="H52" s="804"/>
      <c r="I52" s="912" t="str">
        <f t="shared" si="7"/>
        <v>3</v>
      </c>
      <c r="J52" s="912" t="str">
        <f t="shared" si="8"/>
        <v>Чистая прибыль, полученная от регулируемого вида деятельности в сфере холодного водоснабжения, в том числе:</v>
      </c>
      <c r="K52" s="912" t="str">
        <f t="shared" si="9"/>
        <v>Указывается общая сумма чистой прибыли, полученной от регулируемого вида деятельности.</v>
      </c>
      <c r="L52" s="758" t="str">
        <f t="shared" si="10"/>
        <v>3</v>
      </c>
      <c r="M52" s="758" t="str">
        <f t="shared" si="11"/>
        <v>Чистая прибыль, полученная от регулируемого вида деятельности в сфере холодного водоснабжения, в том числе:</v>
      </c>
      <c r="N52" s="758" t="str">
        <f t="shared" si="12"/>
        <v>Указывается общая сумма чистой прибыли, полученной от регулируемого вида деятельности.</v>
      </c>
      <c r="O52" s="866" t="s">
        <v>90</v>
      </c>
      <c r="P52" s="866" t="s">
        <v>89</v>
      </c>
      <c r="Q52" s="866" t="s">
        <v>89</v>
      </c>
      <c r="R52" s="866" t="s">
        <v>89</v>
      </c>
      <c r="S52" s="866"/>
      <c r="T52" s="757" t="s">
        <v>2046</v>
      </c>
      <c r="U52" s="757" t="s">
        <v>2047</v>
      </c>
      <c r="V52" s="757" t="s">
        <v>2048</v>
      </c>
      <c r="W52" s="757" t="s">
        <v>2049</v>
      </c>
      <c r="X52" s="757"/>
      <c r="Y52" s="908"/>
      <c r="Z52" s="760" t="s">
        <v>647</v>
      </c>
      <c r="AA52" s="763" t="s">
        <v>647</v>
      </c>
      <c r="AB52" s="763" t="s">
        <v>647</v>
      </c>
      <c r="AC52" s="763" t="s">
        <v>647</v>
      </c>
      <c r="AD52" s="760"/>
    </row>
    <row r="53" spans="1:30" ht="36" customHeight="1">
      <c r="A53" s="759"/>
      <c r="B53" s="812">
        <v>36</v>
      </c>
      <c r="C53" s="757">
        <v>1</v>
      </c>
      <c r="D53" s="876"/>
      <c r="E53" s="757"/>
      <c r="F53" s="757"/>
      <c r="G53" s="757"/>
      <c r="H53" s="804"/>
      <c r="I53" s="912" t="str">
        <f t="shared" si="7"/>
        <v>3.1</v>
      </c>
      <c r="J53" s="912"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12">
        <f t="shared" si="9"/>
        <v>0</v>
      </c>
      <c r="L53" s="758" t="str">
        <f t="shared" si="10"/>
        <v>3.1</v>
      </c>
      <c r="M53" s="758"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58" t="str">
        <f t="shared" si="12"/>
        <v/>
      </c>
      <c r="O53" s="866" t="s">
        <v>651</v>
      </c>
      <c r="P53" s="866" t="s">
        <v>315</v>
      </c>
      <c r="Q53" s="866" t="s">
        <v>315</v>
      </c>
      <c r="R53" s="866" t="s">
        <v>315</v>
      </c>
      <c r="S53" s="866"/>
      <c r="T53" s="757" t="s">
        <v>2050</v>
      </c>
      <c r="U53" s="757" t="s">
        <v>2050</v>
      </c>
      <c r="V53" s="757" t="s">
        <v>2050</v>
      </c>
      <c r="W53" s="757" t="s">
        <v>2050</v>
      </c>
      <c r="X53" s="757"/>
      <c r="Y53" s="908"/>
      <c r="Z53" s="760"/>
      <c r="AA53" s="763"/>
      <c r="AB53" s="760"/>
      <c r="AC53" s="760"/>
      <c r="AD53" s="760"/>
    </row>
    <row r="54" spans="1:30" ht="18" customHeight="1">
      <c r="A54" s="759"/>
      <c r="B54" s="812">
        <v>37</v>
      </c>
      <c r="C54" s="757" t="s">
        <v>1943</v>
      </c>
      <c r="D54" s="876" t="s">
        <v>1943</v>
      </c>
      <c r="E54" s="757" t="s">
        <v>1943</v>
      </c>
      <c r="F54" s="757" t="s">
        <v>1943</v>
      </c>
      <c r="G54" s="757"/>
      <c r="H54" s="804"/>
      <c r="I54" s="912" t="str">
        <f t="shared" si="7"/>
        <v>4</v>
      </c>
      <c r="J54" s="912" t="str">
        <f t="shared" si="8"/>
        <v>Изменение стоимости основных фондов, в том числе:</v>
      </c>
      <c r="K54" s="912" t="str">
        <f t="shared" si="9"/>
        <v>Указывается общее изменение стоимости основных фондов.</v>
      </c>
      <c r="L54" s="758" t="str">
        <f t="shared" si="10"/>
        <v>4</v>
      </c>
      <c r="M54" s="758" t="str">
        <f t="shared" si="11"/>
        <v>Изменение стоимости основных фондов, в том числе:</v>
      </c>
      <c r="N54" s="758" t="str">
        <f t="shared" si="12"/>
        <v>Указывается общее изменение стоимости основных фондов.</v>
      </c>
      <c r="O54" s="866" t="s">
        <v>110</v>
      </c>
      <c r="P54" s="866" t="s">
        <v>90</v>
      </c>
      <c r="Q54" s="866" t="s">
        <v>90</v>
      </c>
      <c r="R54" s="866" t="s">
        <v>90</v>
      </c>
      <c r="S54" s="866"/>
      <c r="T54" s="757" t="s">
        <v>649</v>
      </c>
      <c r="U54" s="757" t="s">
        <v>649</v>
      </c>
      <c r="V54" s="757" t="s">
        <v>649</v>
      </c>
      <c r="W54" s="757" t="s">
        <v>649</v>
      </c>
      <c r="X54" s="757"/>
      <c r="Y54" s="908"/>
      <c r="Z54" s="760" t="s">
        <v>650</v>
      </c>
      <c r="AA54" s="760" t="s">
        <v>650</v>
      </c>
      <c r="AB54" s="760" t="s">
        <v>650</v>
      </c>
      <c r="AC54" s="760" t="s">
        <v>650</v>
      </c>
      <c r="AD54" s="760"/>
    </row>
    <row r="55" spans="1:30" ht="36" customHeight="1">
      <c r="A55" s="759"/>
      <c r="B55" s="812">
        <v>38</v>
      </c>
      <c r="C55" s="757">
        <v>1</v>
      </c>
      <c r="D55" s="876"/>
      <c r="E55" s="757"/>
      <c r="F55" s="757"/>
      <c r="G55" s="757"/>
      <c r="H55" s="804"/>
      <c r="I55" s="912" t="str">
        <f t="shared" si="7"/>
        <v>4.1</v>
      </c>
      <c r="J55" s="912" t="str">
        <f t="shared" si="8"/>
        <v>Изменение стоимости основных фондов за счет их ввода в эксплуатацию (вывода из эксплуатации)</v>
      </c>
      <c r="K55" s="912" t="str">
        <f t="shared" si="9"/>
        <v>Указываются общее изменение стоимости основных фондов за счет их ввода в эксплуатацию и вывода из эксплуатации.</v>
      </c>
      <c r="L55" s="758" t="str">
        <f t="shared" si="10"/>
        <v>4.1</v>
      </c>
      <c r="M55" s="758" t="str">
        <f t="shared" si="11"/>
        <v>Изменение стоимости основных фондов за счет их ввода в эксплуатацию (вывода из эксплуатации)</v>
      </c>
      <c r="N55" s="758" t="str">
        <f t="shared" si="12"/>
        <v>Указываются общее изменение стоимости основных фондов за счет их ввода в эксплуатацию и вывода из эксплуатации.</v>
      </c>
      <c r="O55" s="866" t="s">
        <v>304</v>
      </c>
      <c r="P55" s="866" t="s">
        <v>651</v>
      </c>
      <c r="Q55" s="866" t="s">
        <v>651</v>
      </c>
      <c r="R55" s="866" t="s">
        <v>651</v>
      </c>
      <c r="S55" s="866"/>
      <c r="T55" s="757" t="s">
        <v>2051</v>
      </c>
      <c r="U55" s="757" t="s">
        <v>2052</v>
      </c>
      <c r="V55" s="757" t="s">
        <v>2052</v>
      </c>
      <c r="W55" s="757" t="s">
        <v>2052</v>
      </c>
      <c r="X55" s="757"/>
      <c r="Y55" s="908"/>
      <c r="Z55" s="760" t="s">
        <v>2053</v>
      </c>
      <c r="AA55" s="760" t="s">
        <v>2053</v>
      </c>
      <c r="AB55" s="760" t="s">
        <v>2053</v>
      </c>
      <c r="AC55" s="760" t="s">
        <v>2053</v>
      </c>
      <c r="AD55" s="760"/>
    </row>
    <row r="56" spans="1:30" ht="27" customHeight="1">
      <c r="A56" s="759"/>
      <c r="B56" s="812">
        <v>39</v>
      </c>
      <c r="C56" s="757" t="s">
        <v>920</v>
      </c>
      <c r="D56" s="876"/>
      <c r="E56" s="757"/>
      <c r="F56" s="757"/>
      <c r="G56" s="757"/>
      <c r="H56" s="804"/>
      <c r="I56" s="912" t="str">
        <f t="shared" si="7"/>
        <v>4.1.1</v>
      </c>
      <c r="J56" s="912" t="str">
        <f t="shared" si="8"/>
        <v>Изменение стоимости основных фондов за счет их ввода в эксплуатацию</v>
      </c>
      <c r="K56" s="912" t="str">
        <f t="shared" si="9"/>
        <v>Указываются изменение стоимости основных фондов за счет их ввода в эксплуатацию.</v>
      </c>
      <c r="L56" s="758" t="str">
        <f t="shared" si="10"/>
        <v>4.1.1</v>
      </c>
      <c r="M56" s="758" t="str">
        <f t="shared" si="11"/>
        <v>Изменение стоимости основных фондов за счет их ввода в эксплуатацию</v>
      </c>
      <c r="N56" s="758" t="str">
        <f t="shared" si="12"/>
        <v>Указываются изменение стоимости основных фондов за счет их ввода в эксплуатацию.</v>
      </c>
      <c r="O56" s="866" t="s">
        <v>1046</v>
      </c>
      <c r="P56" s="866" t="s">
        <v>654</v>
      </c>
      <c r="Q56" s="866" t="s">
        <v>654</v>
      </c>
      <c r="R56" s="866" t="s">
        <v>654</v>
      </c>
      <c r="S56" s="866"/>
      <c r="T56" s="757" t="s">
        <v>2054</v>
      </c>
      <c r="U56" s="757" t="s">
        <v>2055</v>
      </c>
      <c r="V56" s="757" t="s">
        <v>2055</v>
      </c>
      <c r="W56" s="757" t="s">
        <v>2055</v>
      </c>
      <c r="X56" s="757"/>
      <c r="Y56" s="908"/>
      <c r="Z56" s="760" t="s">
        <v>656</v>
      </c>
      <c r="AA56" s="760" t="s">
        <v>656</v>
      </c>
      <c r="AB56" s="760" t="s">
        <v>656</v>
      </c>
      <c r="AC56" s="760" t="s">
        <v>656</v>
      </c>
      <c r="AD56" s="760"/>
    </row>
    <row r="57" spans="1:30" ht="27" customHeight="1">
      <c r="A57" s="759"/>
      <c r="B57" s="812">
        <v>40</v>
      </c>
      <c r="C57" s="757" t="s">
        <v>922</v>
      </c>
      <c r="D57" s="876"/>
      <c r="E57" s="757"/>
      <c r="F57" s="757"/>
      <c r="G57" s="757"/>
      <c r="H57" s="804"/>
      <c r="I57" s="912" t="str">
        <f t="shared" si="7"/>
        <v>4.1.2</v>
      </c>
      <c r="J57" s="912" t="str">
        <f t="shared" si="8"/>
        <v>Изменение стоимости основных фондов за счет их вывода в эксплуатацию</v>
      </c>
      <c r="K57" s="912" t="str">
        <f t="shared" si="9"/>
        <v>Указываются изменение стоимости основных фондов за счет их вывода из эксплуатации.</v>
      </c>
      <c r="L57" s="758" t="str">
        <f t="shared" si="10"/>
        <v>4.1.2</v>
      </c>
      <c r="M57" s="758" t="str">
        <f t="shared" si="11"/>
        <v>Изменение стоимости основных фондов за счет их вывода в эксплуатацию</v>
      </c>
      <c r="N57" s="758" t="str">
        <f t="shared" si="12"/>
        <v>Указываются изменение стоимости основных фондов за счет их вывода из эксплуатации.</v>
      </c>
      <c r="O57" s="866" t="s">
        <v>1049</v>
      </c>
      <c r="P57" s="866" t="s">
        <v>657</v>
      </c>
      <c r="Q57" s="866" t="s">
        <v>657</v>
      </c>
      <c r="R57" s="866" t="s">
        <v>657</v>
      </c>
      <c r="S57" s="866"/>
      <c r="T57" s="757" t="s">
        <v>2056</v>
      </c>
      <c r="U57" s="757" t="s">
        <v>2057</v>
      </c>
      <c r="V57" s="757" t="s">
        <v>2057</v>
      </c>
      <c r="W57" s="757" t="s">
        <v>2057</v>
      </c>
      <c r="X57" s="757"/>
      <c r="Y57" s="908"/>
      <c r="Z57" s="760" t="s">
        <v>659</v>
      </c>
      <c r="AA57" s="760" t="s">
        <v>659</v>
      </c>
      <c r="AB57" s="760" t="s">
        <v>659</v>
      </c>
      <c r="AC57" s="760" t="s">
        <v>659</v>
      </c>
      <c r="AD57" s="760"/>
    </row>
    <row r="58" spans="1:30" ht="18" customHeight="1">
      <c r="A58" s="759"/>
      <c r="B58" s="812">
        <v>41</v>
      </c>
      <c r="C58" s="757">
        <v>2</v>
      </c>
      <c r="D58" s="876"/>
      <c r="E58" s="757"/>
      <c r="F58" s="757"/>
      <c r="G58" s="757"/>
      <c r="H58" s="804"/>
      <c r="I58" s="912" t="str">
        <f t="shared" si="7"/>
        <v>4.2</v>
      </c>
      <c r="J58" s="912" t="str">
        <f t="shared" si="8"/>
        <v>Изменение стоимости основных фондов за счет их переоценки</v>
      </c>
      <c r="K58" s="912">
        <f t="shared" si="9"/>
        <v>0</v>
      </c>
      <c r="L58" s="758" t="str">
        <f t="shared" si="10"/>
        <v>4.2</v>
      </c>
      <c r="M58" s="758" t="str">
        <f t="shared" si="11"/>
        <v>Изменение стоимости основных фондов за счет их переоценки</v>
      </c>
      <c r="N58" s="758" t="str">
        <f t="shared" si="12"/>
        <v/>
      </c>
      <c r="O58" s="866" t="s">
        <v>306</v>
      </c>
      <c r="P58" s="866" t="s">
        <v>694</v>
      </c>
      <c r="Q58" s="866" t="s">
        <v>694</v>
      </c>
      <c r="R58" s="866" t="s">
        <v>694</v>
      </c>
      <c r="S58" s="866"/>
      <c r="T58" s="757" t="s">
        <v>2058</v>
      </c>
      <c r="U58" s="757" t="s">
        <v>2058</v>
      </c>
      <c r="V58" s="757" t="s">
        <v>2058</v>
      </c>
      <c r="W58" s="757" t="s">
        <v>2058</v>
      </c>
      <c r="X58" s="757"/>
      <c r="Y58" s="908"/>
      <c r="Z58" s="760"/>
      <c r="AA58" s="763"/>
      <c r="AB58" s="760"/>
      <c r="AC58" s="760"/>
      <c r="AD58" s="760"/>
    </row>
    <row r="59" spans="1:30" ht="36" customHeight="1">
      <c r="A59" s="759"/>
      <c r="B59" s="812">
        <v>42</v>
      </c>
      <c r="C59" s="757">
        <v>3</v>
      </c>
      <c r="D59" s="876" t="s">
        <v>2044</v>
      </c>
      <c r="E59" s="757" t="s">
        <v>2044</v>
      </c>
      <c r="F59" s="757" t="s">
        <v>2044</v>
      </c>
      <c r="G59" s="757"/>
      <c r="H59" s="804"/>
      <c r="I59" s="912" t="str">
        <f t="shared" si="7"/>
        <v>5</v>
      </c>
      <c r="J59" s="912" t="str">
        <f t="shared" si="8"/>
        <v>Валовая прибыль (убытки) от продажи товаров и услуг по регулируемым видам деятельности в сфере холодного водоснабжения</v>
      </c>
      <c r="K59" s="912">
        <f t="shared" si="9"/>
        <v>0</v>
      </c>
      <c r="L59" s="758" t="str">
        <f t="shared" si="10"/>
        <v>5</v>
      </c>
      <c r="M59" s="758" t="str">
        <f t="shared" si="11"/>
        <v>Валовая прибыль (убытки) от продажи товаров и услуг по регулируемым видам деятельности в сфере холодного водоснабжения</v>
      </c>
      <c r="N59" s="758" t="str">
        <f t="shared" si="12"/>
        <v/>
      </c>
      <c r="O59" s="866"/>
      <c r="P59" s="866" t="s">
        <v>110</v>
      </c>
      <c r="Q59" s="866" t="s">
        <v>110</v>
      </c>
      <c r="R59" s="866" t="s">
        <v>110</v>
      </c>
      <c r="S59" s="866"/>
      <c r="T59" s="757"/>
      <c r="U59" s="757" t="s">
        <v>2059</v>
      </c>
      <c r="V59" s="757" t="s">
        <v>2060</v>
      </c>
      <c r="W59" s="757" t="s">
        <v>2061</v>
      </c>
      <c r="X59" s="757"/>
      <c r="Y59" s="908"/>
      <c r="Z59" s="760"/>
      <c r="AA59" s="763"/>
      <c r="AB59" s="760"/>
      <c r="AC59" s="760"/>
      <c r="AD59" s="760"/>
    </row>
    <row r="60" spans="1:30" ht="81" customHeight="1">
      <c r="A60" s="759"/>
      <c r="B60" s="812">
        <v>43</v>
      </c>
      <c r="C60" s="757" t="s">
        <v>2062</v>
      </c>
      <c r="D60" s="876" t="s">
        <v>2062</v>
      </c>
      <c r="E60" s="757" t="s">
        <v>2062</v>
      </c>
      <c r="F60" s="757" t="s">
        <v>2062</v>
      </c>
      <c r="G60" s="757"/>
      <c r="H60" s="804"/>
      <c r="I60" s="912" t="str">
        <f t="shared" si="7"/>
        <v>6</v>
      </c>
      <c r="J60" s="912" t="str">
        <f t="shared" si="8"/>
        <v>Годовая бухгалтерская (финансовая) отчетность, включая бухгалтерский баланс и приложения к нему</v>
      </c>
      <c r="K60" s="912"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58" t="str">
        <f t="shared" si="10"/>
        <v>6</v>
      </c>
      <c r="M60" s="758" t="str">
        <f t="shared" si="11"/>
        <v>Годовая бухгалтерская (финансовая) отчетность, включая бухгалтерский баланс и приложения к нему</v>
      </c>
      <c r="N60" s="758"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66" t="s">
        <v>91</v>
      </c>
      <c r="P60" s="866" t="s">
        <v>91</v>
      </c>
      <c r="Q60" s="866" t="s">
        <v>91</v>
      </c>
      <c r="R60" s="866" t="s">
        <v>91</v>
      </c>
      <c r="S60" s="866"/>
      <c r="T60" s="757" t="s">
        <v>663</v>
      </c>
      <c r="U60" s="757" t="s">
        <v>663</v>
      </c>
      <c r="V60" s="757" t="s">
        <v>663</v>
      </c>
      <c r="W60" s="757" t="s">
        <v>663</v>
      </c>
      <c r="X60" s="757"/>
      <c r="Y60" s="908"/>
      <c r="Z60" s="760" t="s">
        <v>2063</v>
      </c>
      <c r="AA60" s="763" t="s">
        <v>2064</v>
      </c>
      <c r="AB60" s="760" t="s">
        <v>2065</v>
      </c>
      <c r="AC60" s="760" t="s">
        <v>2064</v>
      </c>
      <c r="AD60" s="760"/>
    </row>
    <row r="61" spans="1:30" ht="9" customHeight="1">
      <c r="A61" s="759"/>
      <c r="B61" s="812">
        <v>44</v>
      </c>
      <c r="C61" s="757"/>
      <c r="D61" s="876" t="s">
        <v>2066</v>
      </c>
      <c r="E61" s="757"/>
      <c r="F61" s="757"/>
      <c r="G61" s="757"/>
      <c r="H61" s="804"/>
      <c r="I61" s="912" t="str">
        <f t="shared" si="7"/>
        <v>7</v>
      </c>
      <c r="J61" s="912" t="str">
        <f t="shared" si="8"/>
        <v>Объём поднятой воды</v>
      </c>
      <c r="K61" s="912">
        <f t="shared" si="9"/>
        <v>0</v>
      </c>
      <c r="L61" s="758" t="str">
        <f t="shared" si="10"/>
        <v>7</v>
      </c>
      <c r="M61" s="758" t="str">
        <f t="shared" si="11"/>
        <v>Объём поднятой воды</v>
      </c>
      <c r="N61" s="758" t="str">
        <f t="shared" si="12"/>
        <v/>
      </c>
      <c r="O61" s="866"/>
      <c r="P61" s="866" t="s">
        <v>92</v>
      </c>
      <c r="Q61" s="866"/>
      <c r="R61" s="866"/>
      <c r="S61" s="866"/>
      <c r="T61" s="757"/>
      <c r="U61" s="757" t="s">
        <v>2067</v>
      </c>
      <c r="V61" s="757"/>
      <c r="W61" s="757"/>
      <c r="X61" s="757"/>
      <c r="Y61" s="908"/>
      <c r="Z61" s="760"/>
      <c r="AA61" s="763"/>
      <c r="AB61" s="760"/>
      <c r="AC61" s="760"/>
      <c r="AD61" s="760"/>
    </row>
    <row r="62" spans="1:30" ht="9" customHeight="1">
      <c r="A62" s="759"/>
      <c r="B62" s="812">
        <v>45</v>
      </c>
      <c r="C62" s="757"/>
      <c r="D62" s="876" t="s">
        <v>2068</v>
      </c>
      <c r="E62" s="757"/>
      <c r="F62" s="757"/>
      <c r="G62" s="757"/>
      <c r="H62" s="804"/>
      <c r="I62" s="912" t="str">
        <f t="shared" si="7"/>
        <v>8</v>
      </c>
      <c r="J62" s="912" t="str">
        <f t="shared" si="8"/>
        <v>Объём покупной воды</v>
      </c>
      <c r="K62" s="912">
        <f t="shared" si="9"/>
        <v>0</v>
      </c>
      <c r="L62" s="758" t="str">
        <f t="shared" si="10"/>
        <v>8</v>
      </c>
      <c r="M62" s="758" t="str">
        <f t="shared" si="11"/>
        <v>Объём покупной воды</v>
      </c>
      <c r="N62" s="758" t="str">
        <f t="shared" si="12"/>
        <v/>
      </c>
      <c r="O62" s="866"/>
      <c r="P62" s="866" t="s">
        <v>111</v>
      </c>
      <c r="Q62" s="866"/>
      <c r="R62" s="866"/>
      <c r="S62" s="866"/>
      <c r="T62" s="757"/>
      <c r="U62" s="757" t="s">
        <v>2069</v>
      </c>
      <c r="V62" s="757"/>
      <c r="W62" s="757"/>
      <c r="X62" s="757"/>
      <c r="Y62" s="908"/>
      <c r="Z62" s="760"/>
      <c r="AA62" s="763"/>
      <c r="AB62" s="760"/>
      <c r="AC62" s="760"/>
      <c r="AD62" s="760"/>
    </row>
    <row r="63" spans="1:30" ht="18" customHeight="1">
      <c r="A63" s="759"/>
      <c r="B63" s="812">
        <v>46</v>
      </c>
      <c r="C63" s="757"/>
      <c r="D63" s="876" t="s">
        <v>2070</v>
      </c>
      <c r="E63" s="757"/>
      <c r="F63" s="757"/>
      <c r="G63" s="757"/>
      <c r="H63" s="804"/>
      <c r="I63" s="912" t="str">
        <f t="shared" si="7"/>
        <v>9</v>
      </c>
      <c r="J63" s="912" t="str">
        <f t="shared" si="8"/>
        <v>Объём воды, пропущенной через очистные сооружения</v>
      </c>
      <c r="K63" s="912">
        <f t="shared" si="9"/>
        <v>0</v>
      </c>
      <c r="L63" s="758" t="str">
        <f t="shared" si="10"/>
        <v>9</v>
      </c>
      <c r="M63" s="758" t="str">
        <f t="shared" si="11"/>
        <v>Объём воды, пропущенной через очистные сооружения</v>
      </c>
      <c r="N63" s="758" t="str">
        <f t="shared" si="12"/>
        <v/>
      </c>
      <c r="O63" s="866"/>
      <c r="P63" s="866" t="s">
        <v>147</v>
      </c>
      <c r="Q63" s="866"/>
      <c r="R63" s="866"/>
      <c r="S63" s="866"/>
      <c r="T63" s="757"/>
      <c r="U63" s="757" t="s">
        <v>2071</v>
      </c>
      <c r="V63" s="757"/>
      <c r="W63" s="757"/>
      <c r="X63" s="757"/>
      <c r="Y63" s="908"/>
      <c r="Z63" s="760"/>
      <c r="AA63" s="763"/>
      <c r="AB63" s="760"/>
      <c r="AC63" s="760"/>
      <c r="AD63" s="760"/>
    </row>
    <row r="64" spans="1:30" ht="18" customHeight="1">
      <c r="A64" s="759"/>
      <c r="B64" s="812">
        <v>47</v>
      </c>
      <c r="C64" s="757"/>
      <c r="D64" s="876" t="s">
        <v>2072</v>
      </c>
      <c r="E64" s="757"/>
      <c r="F64" s="757"/>
      <c r="G64" s="757"/>
      <c r="H64" s="804"/>
      <c r="I64" s="912" t="str">
        <f t="shared" si="7"/>
        <v>10</v>
      </c>
      <c r="J64" s="912" t="str">
        <f t="shared" si="8"/>
        <v>Объём отпущенной потребителям воды, в том числе:</v>
      </c>
      <c r="K64" s="912" t="str">
        <f t="shared" si="9"/>
        <v>Указывается общий объем отпущенной потребителям воды.</v>
      </c>
      <c r="L64" s="758" t="str">
        <f t="shared" si="10"/>
        <v>10</v>
      </c>
      <c r="M64" s="758" t="str">
        <f t="shared" si="11"/>
        <v>Объём отпущенной потребителям воды, в том числе:</v>
      </c>
      <c r="N64" s="758" t="str">
        <f t="shared" si="12"/>
        <v>Указывается общий объем отпущенной потребителям воды.</v>
      </c>
      <c r="O64" s="866"/>
      <c r="P64" s="866" t="s">
        <v>148</v>
      </c>
      <c r="Q64" s="866"/>
      <c r="R64" s="866"/>
      <c r="S64" s="866"/>
      <c r="T64" s="757"/>
      <c r="U64" s="757" t="s">
        <v>2073</v>
      </c>
      <c r="V64" s="757"/>
      <c r="W64" s="757"/>
      <c r="X64" s="757"/>
      <c r="Y64" s="908"/>
      <c r="Z64" s="760"/>
      <c r="AA64" s="763" t="s">
        <v>2074</v>
      </c>
      <c r="AB64" s="760"/>
      <c r="AC64" s="760"/>
      <c r="AD64" s="760"/>
    </row>
    <row r="65" spans="1:30" ht="18" customHeight="1">
      <c r="A65" s="759"/>
      <c r="B65" s="812">
        <v>48</v>
      </c>
      <c r="C65" s="757"/>
      <c r="D65" s="876"/>
      <c r="E65" s="757"/>
      <c r="F65" s="757"/>
      <c r="G65" s="757"/>
      <c r="H65" s="804"/>
      <c r="I65" s="912" t="str">
        <f t="shared" si="7"/>
        <v>10.1</v>
      </c>
      <c r="J65" s="912" t="str">
        <f t="shared" si="8"/>
        <v>Объём отпущенной потребителям воды, определенный по приборам учета</v>
      </c>
      <c r="K65" s="912">
        <f t="shared" si="9"/>
        <v>0</v>
      </c>
      <c r="L65" s="758" t="str">
        <f t="shared" si="10"/>
        <v>10.1</v>
      </c>
      <c r="M65" s="758" t="str">
        <f t="shared" si="11"/>
        <v>Объём отпущенной потребителям воды, определенный по приборам учета</v>
      </c>
      <c r="N65" s="758" t="str">
        <f t="shared" si="12"/>
        <v/>
      </c>
      <c r="O65" s="866"/>
      <c r="P65" s="866" t="s">
        <v>1985</v>
      </c>
      <c r="Q65" s="866"/>
      <c r="R65" s="866"/>
      <c r="S65" s="866"/>
      <c r="T65" s="757"/>
      <c r="U65" s="757" t="s">
        <v>2075</v>
      </c>
      <c r="V65" s="757"/>
      <c r="W65" s="757"/>
      <c r="X65" s="757"/>
      <c r="Y65" s="908"/>
      <c r="Z65" s="760"/>
      <c r="AA65" s="763"/>
      <c r="AB65" s="760"/>
      <c r="AC65" s="760"/>
      <c r="AD65" s="760"/>
    </row>
    <row r="66" spans="1:30" ht="18" customHeight="1">
      <c r="A66" s="759"/>
      <c r="B66" s="812">
        <v>49</v>
      </c>
      <c r="C66" s="757"/>
      <c r="D66" s="876"/>
      <c r="E66" s="757"/>
      <c r="F66" s="757"/>
      <c r="G66" s="757"/>
      <c r="H66" s="804"/>
      <c r="I66" s="912" t="str">
        <f t="shared" si="7"/>
        <v>10.2</v>
      </c>
      <c r="J66" s="912" t="str">
        <f t="shared" si="8"/>
        <v>Объём отпущенной потребителям воды, определенный расчетным способом</v>
      </c>
      <c r="K66" s="912">
        <f t="shared" si="9"/>
        <v>0</v>
      </c>
      <c r="L66" s="758" t="str">
        <f t="shared" si="10"/>
        <v>10.2</v>
      </c>
      <c r="M66" s="758" t="str">
        <f t="shared" si="11"/>
        <v>Объём отпущенной потребителям воды, определенный расчетным способом</v>
      </c>
      <c r="N66" s="758" t="str">
        <f t="shared" si="12"/>
        <v/>
      </c>
      <c r="O66" s="866"/>
      <c r="P66" s="866" t="s">
        <v>1989</v>
      </c>
      <c r="Q66" s="866"/>
      <c r="R66" s="866"/>
      <c r="S66" s="866"/>
      <c r="T66" s="757"/>
      <c r="U66" s="757" t="s">
        <v>2076</v>
      </c>
      <c r="V66" s="757"/>
      <c r="W66" s="757"/>
      <c r="X66" s="757"/>
      <c r="Y66" s="908"/>
      <c r="Z66" s="760"/>
      <c r="AA66" s="763"/>
      <c r="AB66" s="760"/>
      <c r="AC66" s="760"/>
      <c r="AD66" s="760"/>
    </row>
    <row r="67" spans="1:30" ht="27" customHeight="1">
      <c r="A67" s="759"/>
      <c r="B67" s="812">
        <v>50</v>
      </c>
      <c r="C67" s="757"/>
      <c r="D67" s="876"/>
      <c r="E67" s="757"/>
      <c r="F67" s="757"/>
      <c r="G67" s="757"/>
      <c r="H67" s="804"/>
      <c r="I67" s="912" t="str">
        <f t="shared" si="7"/>
        <v>10.2.1</v>
      </c>
      <c r="J67" s="912" t="str">
        <f t="shared" si="8"/>
        <v>Объём отпущенной потребителям воды, определенный по нормативам потребления коммунальных услуг</v>
      </c>
      <c r="K67" s="912">
        <f t="shared" si="9"/>
        <v>0</v>
      </c>
      <c r="L67" s="758" t="str">
        <f t="shared" si="10"/>
        <v>10.2.1</v>
      </c>
      <c r="M67" s="758" t="str">
        <f t="shared" si="11"/>
        <v>Объём отпущенной потребителям воды, определенный по нормативам потребления коммунальных услуг</v>
      </c>
      <c r="N67" s="758" t="str">
        <f t="shared" si="12"/>
        <v/>
      </c>
      <c r="O67" s="866"/>
      <c r="P67" s="866" t="s">
        <v>2077</v>
      </c>
      <c r="Q67" s="866"/>
      <c r="R67" s="866"/>
      <c r="S67" s="866"/>
      <c r="T67" s="757"/>
      <c r="U67" s="757" t="s">
        <v>2078</v>
      </c>
      <c r="V67" s="757"/>
      <c r="W67" s="757"/>
      <c r="X67" s="757"/>
      <c r="Y67" s="908"/>
      <c r="Z67" s="760"/>
      <c r="AA67" s="763"/>
      <c r="AB67" s="760"/>
      <c r="AC67" s="760"/>
      <c r="AD67" s="760"/>
    </row>
    <row r="68" spans="1:30" ht="27" customHeight="1">
      <c r="A68" s="759"/>
      <c r="B68" s="812">
        <v>51</v>
      </c>
      <c r="C68" s="757"/>
      <c r="D68" s="876"/>
      <c r="E68" s="757"/>
      <c r="F68" s="757"/>
      <c r="G68" s="757"/>
      <c r="H68" s="804"/>
      <c r="I68" s="912" t="str">
        <f t="shared" si="7"/>
        <v>10.2.2</v>
      </c>
      <c r="J68" s="912" t="str">
        <f t="shared" si="8"/>
        <v xml:space="preserve">Объём отпущенной потребителям воды, определенный по нормативам потребления коммунальных ресурсов </v>
      </c>
      <c r="K68" s="912">
        <f t="shared" si="9"/>
        <v>0</v>
      </c>
      <c r="L68" s="758" t="str">
        <f t="shared" si="10"/>
        <v>10.2.2</v>
      </c>
      <c r="M68" s="758" t="str">
        <f t="shared" si="11"/>
        <v xml:space="preserve">Объём отпущенной потребителям воды, определенный по нормативам потребления коммунальных ресурсов </v>
      </c>
      <c r="N68" s="758" t="str">
        <f t="shared" si="12"/>
        <v/>
      </c>
      <c r="O68" s="866"/>
      <c r="P68" s="866" t="s">
        <v>2079</v>
      </c>
      <c r="Q68" s="866"/>
      <c r="R68" s="866"/>
      <c r="S68" s="866"/>
      <c r="T68" s="757"/>
      <c r="U68" s="757" t="s">
        <v>2080</v>
      </c>
      <c r="V68" s="757"/>
      <c r="W68" s="757"/>
      <c r="X68" s="757"/>
      <c r="Y68" s="908"/>
      <c r="Z68" s="760"/>
      <c r="AA68" s="763"/>
      <c r="AB68" s="760"/>
      <c r="AC68" s="760"/>
      <c r="AD68" s="760"/>
    </row>
    <row r="69" spans="1:30" ht="9" customHeight="1">
      <c r="A69" s="759"/>
      <c r="B69" s="812">
        <v>52</v>
      </c>
      <c r="C69" s="757"/>
      <c r="D69" s="876" t="s">
        <v>2081</v>
      </c>
      <c r="E69" s="757"/>
      <c r="F69" s="757"/>
      <c r="G69" s="757"/>
      <c r="H69" s="804"/>
      <c r="I69" s="912" t="str">
        <f t="shared" si="7"/>
        <v>11</v>
      </c>
      <c r="J69" s="912" t="str">
        <f t="shared" si="8"/>
        <v>Потери воды в сетях</v>
      </c>
      <c r="K69" s="912">
        <f t="shared" si="9"/>
        <v>0</v>
      </c>
      <c r="L69" s="758" t="str">
        <f t="shared" si="10"/>
        <v>11</v>
      </c>
      <c r="M69" s="758" t="str">
        <f t="shared" si="11"/>
        <v>Потери воды в сетях</v>
      </c>
      <c r="N69" s="758" t="str">
        <f t="shared" si="12"/>
        <v/>
      </c>
      <c r="O69" s="866"/>
      <c r="P69" s="866" t="s">
        <v>149</v>
      </c>
      <c r="Q69" s="866"/>
      <c r="R69" s="866"/>
      <c r="S69" s="866"/>
      <c r="T69" s="757"/>
      <c r="U69" s="757" t="s">
        <v>2082</v>
      </c>
      <c r="V69" s="757"/>
      <c r="W69" s="757"/>
      <c r="X69" s="757"/>
      <c r="Y69" s="908"/>
      <c r="Z69" s="760"/>
      <c r="AA69" s="763"/>
      <c r="AB69" s="760"/>
      <c r="AC69" s="760"/>
      <c r="AD69" s="760"/>
    </row>
    <row r="70" spans="1:30" ht="27" customHeight="1">
      <c r="A70" s="759"/>
      <c r="B70" s="812">
        <v>53</v>
      </c>
      <c r="C70" s="757"/>
      <c r="D70" s="876"/>
      <c r="E70" s="757" t="s">
        <v>2066</v>
      </c>
      <c r="F70" s="757"/>
      <c r="G70" s="757"/>
      <c r="H70" s="804"/>
      <c r="I70" s="912">
        <f t="shared" si="7"/>
        <v>0</v>
      </c>
      <c r="J70" s="912">
        <f t="shared" si="8"/>
        <v>0</v>
      </c>
      <c r="K70" s="912">
        <f t="shared" si="9"/>
        <v>0</v>
      </c>
      <c r="L70" s="758" t="str">
        <f t="shared" si="10"/>
        <v/>
      </c>
      <c r="M70" s="758" t="str">
        <f t="shared" si="11"/>
        <v/>
      </c>
      <c r="N70" s="758" t="str">
        <f t="shared" si="12"/>
        <v/>
      </c>
      <c r="O70" s="866"/>
      <c r="P70" s="866"/>
      <c r="Q70" s="866" t="s">
        <v>92</v>
      </c>
      <c r="R70" s="866"/>
      <c r="S70" s="866"/>
      <c r="T70" s="757"/>
      <c r="U70" s="757"/>
      <c r="V70" s="757" t="s">
        <v>2083</v>
      </c>
      <c r="W70" s="757"/>
      <c r="X70" s="757"/>
      <c r="Y70" s="908"/>
      <c r="Z70" s="760"/>
      <c r="AA70" s="763"/>
      <c r="AB70" s="760"/>
      <c r="AC70" s="760"/>
      <c r="AD70" s="760"/>
    </row>
    <row r="71" spans="1:30" ht="36" customHeight="1">
      <c r="A71" s="759"/>
      <c r="B71" s="812">
        <v>54</v>
      </c>
      <c r="C71" s="757"/>
      <c r="D71" s="876"/>
      <c r="E71" s="757" t="s">
        <v>2068</v>
      </c>
      <c r="F71" s="757"/>
      <c r="G71" s="757"/>
      <c r="H71" s="804"/>
      <c r="I71" s="912">
        <f t="shared" si="7"/>
        <v>0</v>
      </c>
      <c r="J71" s="912">
        <f t="shared" si="8"/>
        <v>0</v>
      </c>
      <c r="K71" s="912">
        <f t="shared" si="9"/>
        <v>0</v>
      </c>
      <c r="L71" s="758" t="str">
        <f t="shared" si="10"/>
        <v/>
      </c>
      <c r="M71" s="758" t="str">
        <f t="shared" si="11"/>
        <v/>
      </c>
      <c r="N71" s="758" t="str">
        <f t="shared" si="12"/>
        <v/>
      </c>
      <c r="O71" s="866"/>
      <c r="P71" s="866"/>
      <c r="Q71" s="866" t="s">
        <v>111</v>
      </c>
      <c r="R71" s="866"/>
      <c r="S71" s="866"/>
      <c r="T71" s="757"/>
      <c r="U71" s="757"/>
      <c r="V71" s="757" t="s">
        <v>2084</v>
      </c>
      <c r="W71" s="757"/>
      <c r="X71" s="757"/>
      <c r="Y71" s="908"/>
      <c r="Z71" s="760"/>
      <c r="AA71" s="763"/>
      <c r="AB71" s="760"/>
      <c r="AC71" s="760"/>
      <c r="AD71" s="760"/>
    </row>
    <row r="72" spans="1:30" ht="27" customHeight="1">
      <c r="A72" s="759"/>
      <c r="B72" s="812">
        <v>55</v>
      </c>
      <c r="C72" s="757"/>
      <c r="D72" s="876"/>
      <c r="E72" s="757" t="s">
        <v>2070</v>
      </c>
      <c r="F72" s="757"/>
      <c r="G72" s="757"/>
      <c r="H72" s="804"/>
      <c r="I72" s="912">
        <f t="shared" si="7"/>
        <v>0</v>
      </c>
      <c r="J72" s="912">
        <f t="shared" si="8"/>
        <v>0</v>
      </c>
      <c r="K72" s="912">
        <f t="shared" si="9"/>
        <v>0</v>
      </c>
      <c r="L72" s="758" t="str">
        <f t="shared" si="10"/>
        <v/>
      </c>
      <c r="M72" s="758" t="str">
        <f t="shared" si="11"/>
        <v/>
      </c>
      <c r="N72" s="758" t="str">
        <f t="shared" si="12"/>
        <v/>
      </c>
      <c r="O72" s="866"/>
      <c r="P72" s="866"/>
      <c r="Q72" s="866" t="s">
        <v>147</v>
      </c>
      <c r="R72" s="866"/>
      <c r="S72" s="866"/>
      <c r="T72" s="757"/>
      <c r="U72" s="757"/>
      <c r="V72" s="757" t="s">
        <v>2085</v>
      </c>
      <c r="W72" s="757"/>
      <c r="X72" s="757"/>
      <c r="Y72" s="908"/>
      <c r="Z72" s="760"/>
      <c r="AA72" s="763"/>
      <c r="AB72" s="760"/>
      <c r="AC72" s="760"/>
      <c r="AD72" s="760"/>
    </row>
    <row r="73" spans="1:30" ht="36" customHeight="1">
      <c r="A73" s="759"/>
      <c r="B73" s="812">
        <v>56</v>
      </c>
      <c r="C73" s="757"/>
      <c r="D73" s="876"/>
      <c r="E73" s="757" t="s">
        <v>2072</v>
      </c>
      <c r="F73" s="757"/>
      <c r="G73" s="757"/>
      <c r="H73" s="804"/>
      <c r="I73" s="912">
        <f t="shared" si="7"/>
        <v>0</v>
      </c>
      <c r="J73" s="912">
        <f t="shared" si="8"/>
        <v>0</v>
      </c>
      <c r="K73" s="912">
        <f t="shared" si="9"/>
        <v>0</v>
      </c>
      <c r="L73" s="758" t="str">
        <f t="shared" si="10"/>
        <v/>
      </c>
      <c r="M73" s="758" t="str">
        <f t="shared" si="11"/>
        <v/>
      </c>
      <c r="N73" s="758" t="str">
        <f t="shared" si="12"/>
        <v/>
      </c>
      <c r="O73" s="866"/>
      <c r="P73" s="866"/>
      <c r="Q73" s="866" t="s">
        <v>148</v>
      </c>
      <c r="R73" s="866"/>
      <c r="S73" s="866"/>
      <c r="T73" s="757"/>
      <c r="U73" s="757"/>
      <c r="V73" s="757" t="s">
        <v>2086</v>
      </c>
      <c r="W73" s="757"/>
      <c r="X73" s="757"/>
      <c r="Y73" s="908"/>
      <c r="Z73" s="760"/>
      <c r="AA73" s="763"/>
      <c r="AB73" s="760"/>
      <c r="AC73" s="760"/>
      <c r="AD73" s="760"/>
    </row>
    <row r="74" spans="1:30" ht="18" customHeight="1">
      <c r="A74" s="759"/>
      <c r="B74" s="812">
        <v>57</v>
      </c>
      <c r="C74" s="757"/>
      <c r="D74" s="876"/>
      <c r="E74" s="757" t="s">
        <v>2081</v>
      </c>
      <c r="F74" s="757"/>
      <c r="G74" s="757"/>
      <c r="H74" s="804"/>
      <c r="I74" s="912">
        <f t="shared" si="7"/>
        <v>0</v>
      </c>
      <c r="J74" s="912">
        <f t="shared" si="8"/>
        <v>0</v>
      </c>
      <c r="K74" s="912">
        <f t="shared" si="9"/>
        <v>0</v>
      </c>
      <c r="L74" s="758" t="str">
        <f t="shared" si="10"/>
        <v/>
      </c>
      <c r="M74" s="758" t="str">
        <f t="shared" si="11"/>
        <v/>
      </c>
      <c r="N74" s="758" t="str">
        <f t="shared" si="12"/>
        <v/>
      </c>
      <c r="O74" s="866"/>
      <c r="P74" s="866"/>
      <c r="Q74" s="866" t="s">
        <v>149</v>
      </c>
      <c r="R74" s="866"/>
      <c r="S74" s="866"/>
      <c r="T74" s="757"/>
      <c r="U74" s="757"/>
      <c r="V74" s="757" t="s">
        <v>2087</v>
      </c>
      <c r="W74" s="757"/>
      <c r="X74" s="757"/>
      <c r="Y74" s="908"/>
      <c r="Z74" s="760"/>
      <c r="AA74" s="763"/>
      <c r="AB74" s="760"/>
      <c r="AC74" s="760"/>
      <c r="AD74" s="760"/>
    </row>
    <row r="75" spans="1:30" ht="18" customHeight="1">
      <c r="A75" s="759"/>
      <c r="B75" s="812">
        <v>58</v>
      </c>
      <c r="C75" s="757"/>
      <c r="D75" s="876"/>
      <c r="E75" s="757"/>
      <c r="F75" s="757" t="s">
        <v>2066</v>
      </c>
      <c r="G75" s="757"/>
      <c r="H75" s="804"/>
      <c r="I75" s="912">
        <f t="shared" si="7"/>
        <v>0</v>
      </c>
      <c r="J75" s="912">
        <f t="shared" si="8"/>
        <v>0</v>
      </c>
      <c r="K75" s="912">
        <f t="shared" si="9"/>
        <v>0</v>
      </c>
      <c r="L75" s="758" t="str">
        <f t="shared" si="10"/>
        <v/>
      </c>
      <c r="M75" s="758" t="str">
        <f t="shared" si="11"/>
        <v/>
      </c>
      <c r="N75" s="758" t="str">
        <f t="shared" si="12"/>
        <v/>
      </c>
      <c r="O75" s="866"/>
      <c r="P75" s="866"/>
      <c r="Q75" s="866"/>
      <c r="R75" s="866" t="s">
        <v>92</v>
      </c>
      <c r="S75" s="866"/>
      <c r="T75" s="757"/>
      <c r="U75" s="757"/>
      <c r="V75" s="757"/>
      <c r="W75" s="757" t="s">
        <v>2088</v>
      </c>
      <c r="X75" s="757"/>
      <c r="Y75" s="908"/>
      <c r="Z75" s="760"/>
      <c r="AA75" s="763"/>
      <c r="AB75" s="760"/>
      <c r="AC75" s="760"/>
      <c r="AD75" s="760"/>
    </row>
    <row r="76" spans="1:30" ht="36" customHeight="1">
      <c r="A76" s="759"/>
      <c r="B76" s="812">
        <v>59</v>
      </c>
      <c r="C76" s="757"/>
      <c r="D76" s="876"/>
      <c r="E76" s="757"/>
      <c r="F76" s="757" t="s">
        <v>2068</v>
      </c>
      <c r="G76" s="757"/>
      <c r="H76" s="804"/>
      <c r="I76" s="912">
        <f t="shared" si="7"/>
        <v>0</v>
      </c>
      <c r="J76" s="912">
        <f t="shared" si="8"/>
        <v>0</v>
      </c>
      <c r="K76" s="912">
        <f t="shared" si="9"/>
        <v>0</v>
      </c>
      <c r="L76" s="758" t="str">
        <f t="shared" si="10"/>
        <v/>
      </c>
      <c r="M76" s="758" t="str">
        <f t="shared" si="11"/>
        <v/>
      </c>
      <c r="N76" s="758" t="str">
        <f t="shared" si="12"/>
        <v/>
      </c>
      <c r="O76" s="866"/>
      <c r="P76" s="866"/>
      <c r="Q76" s="866"/>
      <c r="R76" s="866" t="s">
        <v>111</v>
      </c>
      <c r="S76" s="866"/>
      <c r="T76" s="757"/>
      <c r="U76" s="757"/>
      <c r="V76" s="757"/>
      <c r="W76" s="757" t="s">
        <v>2089</v>
      </c>
      <c r="X76" s="757"/>
      <c r="Y76" s="908"/>
      <c r="Z76" s="760"/>
      <c r="AA76" s="763"/>
      <c r="AB76" s="760"/>
      <c r="AC76" s="760"/>
      <c r="AD76" s="760"/>
    </row>
    <row r="77" spans="1:30" ht="18" customHeight="1">
      <c r="A77" s="759"/>
      <c r="B77" s="812">
        <v>60</v>
      </c>
      <c r="C77" s="757"/>
      <c r="D77" s="876"/>
      <c r="E77" s="757"/>
      <c r="F77" s="757" t="s">
        <v>2070</v>
      </c>
      <c r="G77" s="757"/>
      <c r="H77" s="804"/>
      <c r="I77" s="912">
        <f t="shared" si="7"/>
        <v>0</v>
      </c>
      <c r="J77" s="912">
        <f t="shared" si="8"/>
        <v>0</v>
      </c>
      <c r="K77" s="912">
        <f t="shared" si="9"/>
        <v>0</v>
      </c>
      <c r="L77" s="758" t="str">
        <f t="shared" si="10"/>
        <v/>
      </c>
      <c r="M77" s="758" t="str">
        <f t="shared" si="11"/>
        <v/>
      </c>
      <c r="N77" s="758" t="str">
        <f t="shared" si="12"/>
        <v/>
      </c>
      <c r="O77" s="866"/>
      <c r="P77" s="866"/>
      <c r="Q77" s="866"/>
      <c r="R77" s="866" t="s">
        <v>147</v>
      </c>
      <c r="S77" s="866"/>
      <c r="T77" s="757"/>
      <c r="U77" s="757"/>
      <c r="V77" s="757"/>
      <c r="W77" s="757" t="s">
        <v>2090</v>
      </c>
      <c r="X77" s="757"/>
      <c r="Y77" s="908"/>
      <c r="Z77" s="760"/>
      <c r="AA77" s="763"/>
      <c r="AB77" s="760"/>
      <c r="AC77" s="760"/>
      <c r="AD77" s="760"/>
    </row>
    <row r="78" spans="1:30" ht="72" customHeight="1">
      <c r="A78" s="759"/>
      <c r="B78" s="812">
        <v>61</v>
      </c>
      <c r="C78" s="757" t="s">
        <v>2066</v>
      </c>
      <c r="D78" s="876"/>
      <c r="E78" s="757"/>
      <c r="F78" s="757"/>
      <c r="G78" s="757"/>
      <c r="H78" s="804"/>
      <c r="I78" s="912">
        <f t="shared" si="7"/>
        <v>0</v>
      </c>
      <c r="J78" s="912">
        <f t="shared" si="8"/>
        <v>0</v>
      </c>
      <c r="K78" s="912">
        <f t="shared" si="9"/>
        <v>0</v>
      </c>
      <c r="L78" s="758" t="str">
        <f t="shared" si="10"/>
        <v/>
      </c>
      <c r="M78" s="758" t="str">
        <f t="shared" si="11"/>
        <v/>
      </c>
      <c r="N78" s="758" t="str">
        <f t="shared" si="12"/>
        <v/>
      </c>
      <c r="O78" s="866" t="s">
        <v>92</v>
      </c>
      <c r="P78" s="866"/>
      <c r="Q78" s="866"/>
      <c r="R78" s="866"/>
      <c r="S78" s="866"/>
      <c r="T78" s="757" t="s">
        <v>2091</v>
      </c>
      <c r="U78" s="757"/>
      <c r="V78" s="757"/>
      <c r="W78" s="757"/>
      <c r="X78" s="757"/>
      <c r="Y78" s="908"/>
      <c r="Z78" s="760" t="s">
        <v>2092</v>
      </c>
      <c r="AA78" s="763"/>
      <c r="AB78" s="760"/>
      <c r="AC78" s="760"/>
      <c r="AD78" s="760"/>
    </row>
    <row r="79" spans="1:30" ht="36" customHeight="1">
      <c r="A79" s="759"/>
      <c r="B79" s="812">
        <v>62</v>
      </c>
      <c r="C79" s="757" t="s">
        <v>2068</v>
      </c>
      <c r="D79" s="876"/>
      <c r="E79" s="757"/>
      <c r="F79" s="757"/>
      <c r="G79" s="757"/>
      <c r="H79" s="804"/>
      <c r="I79" s="912">
        <f t="shared" si="7"/>
        <v>0</v>
      </c>
      <c r="J79" s="912">
        <f t="shared" si="8"/>
        <v>0</v>
      </c>
      <c r="K79" s="912">
        <f t="shared" si="9"/>
        <v>0</v>
      </c>
      <c r="L79" s="758" t="str">
        <f t="shared" si="10"/>
        <v/>
      </c>
      <c r="M79" s="758" t="str">
        <f t="shared" si="11"/>
        <v/>
      </c>
      <c r="N79" s="758" t="str">
        <f t="shared" si="12"/>
        <v/>
      </c>
      <c r="O79" s="866" t="s">
        <v>111</v>
      </c>
      <c r="P79" s="866"/>
      <c r="Q79" s="866"/>
      <c r="R79" s="866"/>
      <c r="S79" s="866"/>
      <c r="T79" s="757" t="s">
        <v>2093</v>
      </c>
      <c r="U79" s="757"/>
      <c r="V79" s="757"/>
      <c r="W79" s="757"/>
      <c r="X79" s="757"/>
      <c r="Y79" s="908"/>
      <c r="Z79" s="760" t="s">
        <v>2094</v>
      </c>
      <c r="AA79" s="763"/>
      <c r="AB79" s="760"/>
      <c r="AC79" s="760"/>
      <c r="AD79" s="760"/>
    </row>
    <row r="80" spans="1:30" ht="45" customHeight="1">
      <c r="A80" s="759"/>
      <c r="B80" s="812">
        <v>63</v>
      </c>
      <c r="C80" s="757" t="s">
        <v>2070</v>
      </c>
      <c r="D80" s="876"/>
      <c r="E80" s="757"/>
      <c r="F80" s="757"/>
      <c r="G80" s="757"/>
      <c r="H80" s="804"/>
      <c r="I80" s="912">
        <f t="shared" si="7"/>
        <v>0</v>
      </c>
      <c r="J80" s="912">
        <f t="shared" si="8"/>
        <v>0</v>
      </c>
      <c r="K80" s="912">
        <f t="shared" si="9"/>
        <v>0</v>
      </c>
      <c r="L80" s="758" t="str">
        <f t="shared" si="10"/>
        <v/>
      </c>
      <c r="M80" s="758" t="str">
        <f t="shared" si="11"/>
        <v/>
      </c>
      <c r="N80" s="758" t="str">
        <f t="shared" si="12"/>
        <v/>
      </c>
      <c r="O80" s="866" t="s">
        <v>147</v>
      </c>
      <c r="P80" s="866"/>
      <c r="Q80" s="866"/>
      <c r="R80" s="866"/>
      <c r="S80" s="866"/>
      <c r="T80" s="757" t="s">
        <v>2095</v>
      </c>
      <c r="U80" s="757"/>
      <c r="V80" s="757"/>
      <c r="W80" s="757"/>
      <c r="X80" s="757"/>
      <c r="Y80" s="908"/>
      <c r="Z80" s="760" t="s">
        <v>2096</v>
      </c>
      <c r="AA80" s="763"/>
      <c r="AB80" s="760"/>
      <c r="AC80" s="760"/>
      <c r="AD80" s="760"/>
    </row>
    <row r="81" spans="1:30" ht="36" customHeight="1">
      <c r="A81" s="759"/>
      <c r="B81" s="812">
        <v>64</v>
      </c>
      <c r="C81" s="757" t="s">
        <v>2072</v>
      </c>
      <c r="D81" s="876"/>
      <c r="E81" s="757"/>
      <c r="F81" s="757"/>
      <c r="G81" s="757"/>
      <c r="H81" s="804"/>
      <c r="I81" s="912">
        <f t="shared" si="7"/>
        <v>0</v>
      </c>
      <c r="J81" s="912">
        <f t="shared" si="8"/>
        <v>0</v>
      </c>
      <c r="K81" s="912">
        <f t="shared" si="9"/>
        <v>0</v>
      </c>
      <c r="L81" s="758" t="str">
        <f t="shared" si="10"/>
        <v/>
      </c>
      <c r="M81" s="758" t="str">
        <f t="shared" si="11"/>
        <v/>
      </c>
      <c r="N81" s="758" t="str">
        <f t="shared" si="12"/>
        <v/>
      </c>
      <c r="O81" s="866" t="s">
        <v>1976</v>
      </c>
      <c r="P81" s="866"/>
      <c r="Q81" s="866"/>
      <c r="R81" s="866"/>
      <c r="S81" s="866"/>
      <c r="T81" s="757" t="s">
        <v>2097</v>
      </c>
      <c r="U81" s="757"/>
      <c r="V81" s="757"/>
      <c r="W81" s="757"/>
      <c r="X81" s="757"/>
      <c r="Y81" s="908"/>
      <c r="Z81" s="760" t="s">
        <v>2098</v>
      </c>
      <c r="AA81" s="763"/>
      <c r="AB81" s="760"/>
      <c r="AC81" s="760"/>
      <c r="AD81" s="760"/>
    </row>
    <row r="82" spans="1:30" ht="90" customHeight="1">
      <c r="A82" s="759"/>
      <c r="B82" s="812">
        <v>65</v>
      </c>
      <c r="C82" s="757" t="s">
        <v>2081</v>
      </c>
      <c r="D82" s="876"/>
      <c r="E82" s="757"/>
      <c r="F82" s="757"/>
      <c r="G82" s="757"/>
      <c r="H82" s="804"/>
      <c r="I82" s="912">
        <f t="shared" ref="I82:I101" si="13">INDEX(TEMPLATE_NUMBER_POINT_FHD,B82,MATCH(TEMPLATE_SPHERE,TEMPLATE_SPHERE_LIST_FOR_NOTE,0))</f>
        <v>0</v>
      </c>
      <c r="J82" s="912">
        <f t="shared" ref="J82:J101" si="14">INDEX(TEMPLATE_DATA_POINT_FHD,B82,MATCH(TEMPLATE_SPHERE,TEMPLATE_SPHERE_LIST_FOR_NOTE,0))</f>
        <v>0</v>
      </c>
      <c r="K82" s="912">
        <f t="shared" ref="K82:K101" si="15">INDEX(TEMPLATE_NOTE_POINT_FHD,B82,MATCH(TEMPLATE_SPHERE,TEMPLATE_SPHERE_LIST_FOR_NOTE,0))</f>
        <v>0</v>
      </c>
      <c r="L82" s="758" t="str">
        <f t="shared" ref="L82:L101" si="16">IF(I82=0,"",I82)</f>
        <v/>
      </c>
      <c r="M82" s="758" t="str">
        <f t="shared" ref="M82:M101" si="17">IF(J82=0,"",J82)</f>
        <v/>
      </c>
      <c r="N82" s="758" t="str">
        <f t="shared" ref="N82:N101" si="18">IF(K82=0,"",K82)</f>
        <v/>
      </c>
      <c r="O82" s="866" t="s">
        <v>148</v>
      </c>
      <c r="P82" s="866"/>
      <c r="Q82" s="866"/>
      <c r="R82" s="866"/>
      <c r="S82" s="866"/>
      <c r="T82" s="757" t="s">
        <v>2099</v>
      </c>
      <c r="U82" s="757"/>
      <c r="V82" s="757"/>
      <c r="W82" s="757"/>
      <c r="X82" s="757"/>
      <c r="Y82" s="908"/>
      <c r="Z82" s="760" t="s">
        <v>2100</v>
      </c>
      <c r="AA82" s="763"/>
      <c r="AB82" s="760"/>
      <c r="AC82" s="760"/>
      <c r="AD82" s="760"/>
    </row>
    <row r="83" spans="1:30" ht="9" customHeight="1">
      <c r="A83" s="759"/>
      <c r="B83" s="812">
        <v>66</v>
      </c>
      <c r="C83" s="757"/>
      <c r="D83" s="876"/>
      <c r="E83" s="757"/>
      <c r="F83" s="757"/>
      <c r="G83" s="757"/>
      <c r="H83" s="804"/>
      <c r="I83" s="912">
        <f t="shared" si="13"/>
        <v>0</v>
      </c>
      <c r="J83" s="912">
        <f t="shared" si="14"/>
        <v>0</v>
      </c>
      <c r="K83" s="912">
        <f t="shared" si="15"/>
        <v>0</v>
      </c>
      <c r="L83" s="758" t="str">
        <f t="shared" si="16"/>
        <v/>
      </c>
      <c r="M83" s="758" t="str">
        <f t="shared" si="17"/>
        <v/>
      </c>
      <c r="N83" s="758" t="str">
        <f t="shared" si="18"/>
        <v/>
      </c>
      <c r="O83" s="866" t="s">
        <v>1985</v>
      </c>
      <c r="P83" s="866"/>
      <c r="Q83" s="866"/>
      <c r="R83" s="866"/>
      <c r="S83" s="866"/>
      <c r="T83" s="757" t="s">
        <v>2101</v>
      </c>
      <c r="U83" s="757"/>
      <c r="V83" s="757"/>
      <c r="W83" s="757"/>
      <c r="X83" s="757"/>
      <c r="Y83" s="908"/>
      <c r="Z83" s="760"/>
      <c r="AA83" s="763"/>
      <c r="AB83" s="760"/>
      <c r="AC83" s="760"/>
      <c r="AD83" s="760"/>
    </row>
    <row r="84" spans="1:30" ht="54" customHeight="1">
      <c r="A84" s="759"/>
      <c r="B84" s="812">
        <v>67</v>
      </c>
      <c r="C84" s="757"/>
      <c r="D84" s="876"/>
      <c r="E84" s="757"/>
      <c r="F84" s="757"/>
      <c r="G84" s="757"/>
      <c r="H84" s="804"/>
      <c r="I84" s="912">
        <f t="shared" si="13"/>
        <v>0</v>
      </c>
      <c r="J84" s="912">
        <f t="shared" si="14"/>
        <v>0</v>
      </c>
      <c r="K84" s="912">
        <f t="shared" si="15"/>
        <v>0</v>
      </c>
      <c r="L84" s="758" t="str">
        <f t="shared" si="16"/>
        <v/>
      </c>
      <c r="M84" s="758" t="str">
        <f t="shared" si="17"/>
        <v/>
      </c>
      <c r="N84" s="758" t="str">
        <f t="shared" si="18"/>
        <v/>
      </c>
      <c r="O84" s="866" t="s">
        <v>2102</v>
      </c>
      <c r="P84" s="866"/>
      <c r="Q84" s="866"/>
      <c r="R84" s="866"/>
      <c r="S84" s="866"/>
      <c r="T84" s="757" t="s">
        <v>2103</v>
      </c>
      <c r="U84" s="757"/>
      <c r="V84" s="757"/>
      <c r="W84" s="757"/>
      <c r="X84" s="757"/>
      <c r="Y84" s="908"/>
      <c r="Z84" s="760"/>
      <c r="AA84" s="763"/>
      <c r="AB84" s="760"/>
      <c r="AC84" s="760"/>
      <c r="AD84" s="760"/>
    </row>
    <row r="85" spans="1:30" ht="9" customHeight="1">
      <c r="A85" s="759"/>
      <c r="B85" s="812">
        <v>68</v>
      </c>
      <c r="C85" s="757"/>
      <c r="D85" s="876"/>
      <c r="E85" s="757"/>
      <c r="F85" s="757"/>
      <c r="G85" s="757"/>
      <c r="H85" s="804"/>
      <c r="I85" s="912">
        <f t="shared" si="13"/>
        <v>0</v>
      </c>
      <c r="J85" s="912">
        <f t="shared" si="14"/>
        <v>0</v>
      </c>
      <c r="K85" s="912">
        <f t="shared" si="15"/>
        <v>0</v>
      </c>
      <c r="L85" s="758" t="str">
        <f t="shared" si="16"/>
        <v/>
      </c>
      <c r="M85" s="758" t="str">
        <f t="shared" si="17"/>
        <v/>
      </c>
      <c r="N85" s="758" t="str">
        <f t="shared" si="18"/>
        <v/>
      </c>
      <c r="O85" s="866" t="s">
        <v>1989</v>
      </c>
      <c r="P85" s="866"/>
      <c r="Q85" s="866"/>
      <c r="R85" s="866"/>
      <c r="S85" s="866"/>
      <c r="T85" s="757" t="s">
        <v>2104</v>
      </c>
      <c r="U85" s="757"/>
      <c r="V85" s="757"/>
      <c r="W85" s="757"/>
      <c r="X85" s="757"/>
      <c r="Y85" s="908"/>
      <c r="Z85" s="760"/>
      <c r="AA85" s="763"/>
      <c r="AB85" s="760"/>
      <c r="AC85" s="760"/>
      <c r="AD85" s="760"/>
    </row>
    <row r="86" spans="1:30" ht="27" customHeight="1">
      <c r="A86" s="759"/>
      <c r="B86" s="812">
        <v>69</v>
      </c>
      <c r="C86" s="757"/>
      <c r="D86" s="876"/>
      <c r="E86" s="757"/>
      <c r="F86" s="757"/>
      <c r="G86" s="757"/>
      <c r="H86" s="804"/>
      <c r="I86" s="912">
        <f t="shared" si="13"/>
        <v>0</v>
      </c>
      <c r="J86" s="912">
        <f t="shared" si="14"/>
        <v>0</v>
      </c>
      <c r="K86" s="912">
        <f t="shared" si="15"/>
        <v>0</v>
      </c>
      <c r="L86" s="758" t="str">
        <f t="shared" si="16"/>
        <v/>
      </c>
      <c r="M86" s="758" t="str">
        <f t="shared" si="17"/>
        <v/>
      </c>
      <c r="N86" s="758" t="str">
        <f t="shared" si="18"/>
        <v/>
      </c>
      <c r="O86" s="866" t="s">
        <v>2105</v>
      </c>
      <c r="P86" s="866"/>
      <c r="Q86" s="866"/>
      <c r="R86" s="866"/>
      <c r="S86" s="866"/>
      <c r="T86" s="757" t="s">
        <v>2106</v>
      </c>
      <c r="U86" s="757"/>
      <c r="V86" s="757"/>
      <c r="W86" s="757"/>
      <c r="X86" s="757"/>
      <c r="Y86" s="908"/>
      <c r="Z86" s="760"/>
      <c r="AA86" s="763"/>
      <c r="AB86" s="760"/>
      <c r="AC86" s="760"/>
      <c r="AD86" s="760"/>
    </row>
    <row r="87" spans="1:30" ht="36" customHeight="1">
      <c r="A87" s="759"/>
      <c r="B87" s="812">
        <v>70</v>
      </c>
      <c r="C87" s="757" t="s">
        <v>2107</v>
      </c>
      <c r="D87" s="876"/>
      <c r="E87" s="757"/>
      <c r="F87" s="757"/>
      <c r="G87" s="757"/>
      <c r="H87" s="804"/>
      <c r="I87" s="912">
        <f t="shared" si="13"/>
        <v>0</v>
      </c>
      <c r="J87" s="912">
        <f t="shared" si="14"/>
        <v>0</v>
      </c>
      <c r="K87" s="912">
        <f t="shared" si="15"/>
        <v>0</v>
      </c>
      <c r="L87" s="758" t="str">
        <f t="shared" si="16"/>
        <v/>
      </c>
      <c r="M87" s="758" t="str">
        <f t="shared" si="17"/>
        <v/>
      </c>
      <c r="N87" s="758" t="str">
        <f t="shared" si="18"/>
        <v/>
      </c>
      <c r="O87" s="866" t="s">
        <v>149</v>
      </c>
      <c r="P87" s="866"/>
      <c r="Q87" s="866"/>
      <c r="R87" s="866"/>
      <c r="S87" s="866"/>
      <c r="T87" s="757" t="s">
        <v>2108</v>
      </c>
      <c r="U87" s="757"/>
      <c r="V87" s="757"/>
      <c r="W87" s="757"/>
      <c r="X87" s="757"/>
      <c r="Y87" s="908"/>
      <c r="Z87" s="760"/>
      <c r="AA87" s="763"/>
      <c r="AB87" s="760"/>
      <c r="AC87" s="760"/>
      <c r="AD87" s="760"/>
    </row>
    <row r="88" spans="1:30" ht="18" customHeight="1">
      <c r="A88" s="759"/>
      <c r="B88" s="812">
        <v>71</v>
      </c>
      <c r="C88" s="757" t="s">
        <v>2109</v>
      </c>
      <c r="D88" s="876"/>
      <c r="E88" s="757"/>
      <c r="F88" s="757"/>
      <c r="G88" s="757"/>
      <c r="H88" s="804"/>
      <c r="I88" s="912">
        <f t="shared" si="13"/>
        <v>0</v>
      </c>
      <c r="J88" s="912">
        <f t="shared" si="14"/>
        <v>0</v>
      </c>
      <c r="K88" s="912">
        <f t="shared" si="15"/>
        <v>0</v>
      </c>
      <c r="L88" s="758" t="str">
        <f t="shared" si="16"/>
        <v/>
      </c>
      <c r="M88" s="758" t="str">
        <f t="shared" si="17"/>
        <v/>
      </c>
      <c r="N88" s="758" t="str">
        <f t="shared" si="18"/>
        <v/>
      </c>
      <c r="O88" s="866" t="s">
        <v>150</v>
      </c>
      <c r="P88" s="866"/>
      <c r="Q88" s="866"/>
      <c r="R88" s="866"/>
      <c r="S88" s="866"/>
      <c r="T88" s="757" t="s">
        <v>2110</v>
      </c>
      <c r="U88" s="757"/>
      <c r="V88" s="757"/>
      <c r="W88" s="757"/>
      <c r="X88" s="757"/>
      <c r="Y88" s="908"/>
      <c r="Z88" s="760"/>
      <c r="AA88" s="763"/>
      <c r="AB88" s="760"/>
      <c r="AC88" s="760"/>
      <c r="AD88" s="760"/>
    </row>
    <row r="89" spans="1:30" ht="18" customHeight="1">
      <c r="A89" s="759"/>
      <c r="B89" s="812">
        <v>72</v>
      </c>
      <c r="C89" s="757" t="s">
        <v>2111</v>
      </c>
      <c r="D89" s="876" t="s">
        <v>2107</v>
      </c>
      <c r="E89" s="757" t="s">
        <v>2107</v>
      </c>
      <c r="F89" s="757" t="s">
        <v>2072</v>
      </c>
      <c r="G89" s="757"/>
      <c r="H89" s="804"/>
      <c r="I89" s="912" t="str">
        <f t="shared" si="13"/>
        <v>12</v>
      </c>
      <c r="J89" s="912" t="str">
        <f t="shared" si="14"/>
        <v>Среднесписочная численность основного производственного персонала</v>
      </c>
      <c r="K89" s="912">
        <f t="shared" si="15"/>
        <v>0</v>
      </c>
      <c r="L89" s="758" t="str">
        <f t="shared" si="16"/>
        <v>12</v>
      </c>
      <c r="M89" s="758" t="str">
        <f t="shared" si="17"/>
        <v>Среднесписочная численность основного производственного персонала</v>
      </c>
      <c r="N89" s="758" t="str">
        <f t="shared" si="18"/>
        <v/>
      </c>
      <c r="O89" s="866" t="s">
        <v>151</v>
      </c>
      <c r="P89" s="866" t="s">
        <v>150</v>
      </c>
      <c r="Q89" s="866" t="s">
        <v>150</v>
      </c>
      <c r="R89" s="866" t="s">
        <v>148</v>
      </c>
      <c r="S89" s="866"/>
      <c r="T89" s="757" t="s">
        <v>2112</v>
      </c>
      <c r="U89" s="757" t="s">
        <v>2112</v>
      </c>
      <c r="V89" s="757" t="s">
        <v>2112</v>
      </c>
      <c r="W89" s="757" t="s">
        <v>2112</v>
      </c>
      <c r="X89" s="757"/>
      <c r="Y89" s="908"/>
      <c r="Z89" s="760"/>
      <c r="AA89" s="763"/>
      <c r="AB89" s="760"/>
      <c r="AC89" s="760"/>
      <c r="AD89" s="760"/>
    </row>
    <row r="90" spans="1:30" ht="27" customHeight="1">
      <c r="A90" s="759"/>
      <c r="B90" s="812">
        <v>73</v>
      </c>
      <c r="C90" s="757" t="s">
        <v>2113</v>
      </c>
      <c r="D90" s="876"/>
      <c r="E90" s="757"/>
      <c r="F90" s="757"/>
      <c r="G90" s="757"/>
      <c r="H90" s="804"/>
      <c r="I90" s="912">
        <f t="shared" si="13"/>
        <v>0</v>
      </c>
      <c r="J90" s="912">
        <f t="shared" si="14"/>
        <v>0</v>
      </c>
      <c r="K90" s="912">
        <f t="shared" si="15"/>
        <v>0</v>
      </c>
      <c r="L90" s="758" t="str">
        <f t="shared" si="16"/>
        <v/>
      </c>
      <c r="M90" s="758" t="str">
        <f t="shared" si="17"/>
        <v/>
      </c>
      <c r="N90" s="758" t="str">
        <f t="shared" si="18"/>
        <v/>
      </c>
      <c r="O90" s="866" t="s">
        <v>152</v>
      </c>
      <c r="P90" s="866"/>
      <c r="Q90" s="866"/>
      <c r="R90" s="866"/>
      <c r="S90" s="866"/>
      <c r="T90" s="757" t="s">
        <v>2114</v>
      </c>
      <c r="U90" s="757"/>
      <c r="V90" s="757"/>
      <c r="W90" s="757"/>
      <c r="X90" s="757"/>
      <c r="Y90" s="908"/>
      <c r="Z90" s="760"/>
      <c r="AA90" s="763"/>
      <c r="AB90" s="760"/>
      <c r="AC90" s="760"/>
      <c r="AD90" s="760"/>
    </row>
    <row r="91" spans="1:30" ht="18" customHeight="1">
      <c r="A91" s="759"/>
      <c r="B91" s="812">
        <v>74</v>
      </c>
      <c r="C91" s="757"/>
      <c r="D91" s="876" t="s">
        <v>2109</v>
      </c>
      <c r="E91" s="757" t="s">
        <v>2109</v>
      </c>
      <c r="F91" s="757"/>
      <c r="G91" s="757"/>
      <c r="H91" s="804"/>
      <c r="I91" s="912" t="str">
        <f t="shared" si="13"/>
        <v>13</v>
      </c>
      <c r="J91" s="912" t="str">
        <f t="shared" si="14"/>
        <v>Удельный расход электрической энергии на подачу воды в сеть</v>
      </c>
      <c r="K91" s="912">
        <f t="shared" si="15"/>
        <v>0</v>
      </c>
      <c r="L91" s="758" t="str">
        <f t="shared" si="16"/>
        <v>13</v>
      </c>
      <c r="M91" s="758" t="str">
        <f t="shared" si="17"/>
        <v>Удельный расход электрической энергии на подачу воды в сеть</v>
      </c>
      <c r="N91" s="758" t="str">
        <f t="shared" si="18"/>
        <v/>
      </c>
      <c r="O91" s="866"/>
      <c r="P91" s="866" t="s">
        <v>151</v>
      </c>
      <c r="Q91" s="866" t="s">
        <v>151</v>
      </c>
      <c r="R91" s="866"/>
      <c r="S91" s="866"/>
      <c r="T91" s="757"/>
      <c r="U91" s="757" t="s">
        <v>2115</v>
      </c>
      <c r="V91" s="757" t="s">
        <v>2115</v>
      </c>
      <c r="W91" s="757"/>
      <c r="X91" s="757"/>
      <c r="Y91" s="908"/>
      <c r="Z91" s="760"/>
      <c r="AA91" s="763"/>
      <c r="AB91" s="760"/>
      <c r="AC91" s="760"/>
      <c r="AD91" s="760"/>
    </row>
    <row r="92" spans="1:30" ht="27" customHeight="1">
      <c r="A92" s="759"/>
      <c r="B92" s="812">
        <v>75</v>
      </c>
      <c r="C92" s="757"/>
      <c r="D92" s="876" t="s">
        <v>2111</v>
      </c>
      <c r="E92" s="757"/>
      <c r="F92" s="757"/>
      <c r="G92" s="757"/>
      <c r="H92" s="804"/>
      <c r="I92" s="912" t="str">
        <f t="shared" si="13"/>
        <v>14</v>
      </c>
      <c r="J92" s="912" t="str">
        <f t="shared" si="14"/>
        <v>Расход воды на собственные нужды, в том числе:</v>
      </c>
      <c r="K92" s="912" t="str">
        <f t="shared" si="15"/>
        <v>Указывается доля общего расхода воды на собственные нужны от объема отпуска воды потребителям.</v>
      </c>
      <c r="L92" s="758" t="str">
        <f t="shared" si="16"/>
        <v>14</v>
      </c>
      <c r="M92" s="758" t="str">
        <f t="shared" si="17"/>
        <v>Расход воды на собственные нужды, в том числе:</v>
      </c>
      <c r="N92" s="758" t="str">
        <f t="shared" si="18"/>
        <v>Указывается доля общего расхода воды на собственные нужны от объема отпуска воды потребителям.</v>
      </c>
      <c r="O92" s="866"/>
      <c r="P92" s="866" t="s">
        <v>152</v>
      </c>
      <c r="Q92" s="866"/>
      <c r="R92" s="866"/>
      <c r="S92" s="866"/>
      <c r="T92" s="757"/>
      <c r="U92" s="757" t="s">
        <v>2116</v>
      </c>
      <c r="V92" s="757"/>
      <c r="W92" s="757"/>
      <c r="X92" s="757"/>
      <c r="Y92" s="908"/>
      <c r="Z92" s="760"/>
      <c r="AA92" s="763" t="s">
        <v>2117</v>
      </c>
      <c r="AB92" s="760"/>
      <c r="AC92" s="760"/>
      <c r="AD92" s="760"/>
    </row>
    <row r="93" spans="1:30" ht="27" customHeight="1">
      <c r="A93" s="759"/>
      <c r="B93" s="812">
        <v>76</v>
      </c>
      <c r="C93" s="757"/>
      <c r="D93" s="876"/>
      <c r="E93" s="757"/>
      <c r="F93" s="757"/>
      <c r="G93" s="757"/>
      <c r="H93" s="804"/>
      <c r="I93" s="912" t="str">
        <f t="shared" si="13"/>
        <v>14.1</v>
      </c>
      <c r="J93" s="912" t="str">
        <f t="shared" si="14"/>
        <v>Расход воды на хозяйственно-бытовые нужды</v>
      </c>
      <c r="K93" s="912" t="str">
        <f t="shared" si="15"/>
        <v>Указывается доля расхода воды на хозяйственно-бытовые нужны от объема отпуска воды потребителям.</v>
      </c>
      <c r="L93" s="758" t="str">
        <f t="shared" si="16"/>
        <v>14.1</v>
      </c>
      <c r="M93" s="758" t="str">
        <f t="shared" si="17"/>
        <v>Расход воды на хозяйственно-бытовые нужды</v>
      </c>
      <c r="N93" s="758" t="str">
        <f t="shared" si="18"/>
        <v>Указывается доля расхода воды на хозяйственно-бытовые нужны от объема отпуска воды потребителям.</v>
      </c>
      <c r="O93" s="866"/>
      <c r="P93" s="866" t="s">
        <v>2017</v>
      </c>
      <c r="Q93" s="866"/>
      <c r="R93" s="866"/>
      <c r="S93" s="866"/>
      <c r="T93" s="757"/>
      <c r="U93" s="757" t="s">
        <v>2118</v>
      </c>
      <c r="V93" s="757"/>
      <c r="W93" s="757"/>
      <c r="X93" s="757"/>
      <c r="Y93" s="908"/>
      <c r="Z93" s="760"/>
      <c r="AA93" s="763" t="s">
        <v>2119</v>
      </c>
      <c r="AB93" s="760"/>
      <c r="AC93" s="760"/>
      <c r="AD93" s="760"/>
    </row>
    <row r="94" spans="1:30" ht="45" customHeight="1">
      <c r="A94" s="759"/>
      <c r="B94" s="812">
        <v>77</v>
      </c>
      <c r="C94" s="757"/>
      <c r="D94" s="876" t="s">
        <v>2113</v>
      </c>
      <c r="E94" s="757"/>
      <c r="F94" s="757"/>
      <c r="G94" s="757"/>
      <c r="H94" s="804"/>
      <c r="I94" s="912" t="str">
        <f t="shared" si="13"/>
        <v>15</v>
      </c>
      <c r="J94" s="912" t="str">
        <f t="shared" si="14"/>
        <v>Показатель использования производственных объектов (по объему перекачки), в том числе:</v>
      </c>
      <c r="K94" s="912"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58" t="str">
        <f t="shared" si="16"/>
        <v>15</v>
      </c>
      <c r="M94" s="758" t="str">
        <f t="shared" si="17"/>
        <v>Показатель использования производственных объектов (по объему перекачки), в том числе:</v>
      </c>
      <c r="N94" s="758"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66"/>
      <c r="P94" s="866" t="s">
        <v>1467</v>
      </c>
      <c r="Q94" s="866"/>
      <c r="R94" s="866"/>
      <c r="S94" s="866"/>
      <c r="T94" s="757"/>
      <c r="U94" s="757" t="s">
        <v>2120</v>
      </c>
      <c r="V94" s="757"/>
      <c r="W94" s="757"/>
      <c r="X94" s="757"/>
      <c r="Y94" s="908"/>
      <c r="Z94" s="760"/>
      <c r="AA94" s="763" t="s">
        <v>2121</v>
      </c>
      <c r="AB94" s="760"/>
      <c r="AC94" s="760"/>
      <c r="AD94" s="760"/>
    </row>
    <row r="95" spans="1:30" ht="99" customHeight="1">
      <c r="A95" s="759"/>
      <c r="B95" s="812">
        <v>78</v>
      </c>
      <c r="C95" s="757" t="s">
        <v>2122</v>
      </c>
      <c r="D95" s="876"/>
      <c r="E95" s="757"/>
      <c r="F95" s="757"/>
      <c r="G95" s="757"/>
      <c r="H95" s="804"/>
      <c r="I95" s="912">
        <f t="shared" si="13"/>
        <v>0</v>
      </c>
      <c r="J95" s="912">
        <f t="shared" si="14"/>
        <v>0</v>
      </c>
      <c r="K95" s="912">
        <f t="shared" si="15"/>
        <v>0</v>
      </c>
      <c r="L95" s="758" t="str">
        <f t="shared" si="16"/>
        <v/>
      </c>
      <c r="M95" s="758" t="str">
        <f t="shared" si="17"/>
        <v/>
      </c>
      <c r="N95" s="758" t="str">
        <f t="shared" si="18"/>
        <v/>
      </c>
      <c r="O95" s="866" t="s">
        <v>1467</v>
      </c>
      <c r="P95" s="866"/>
      <c r="Q95" s="866"/>
      <c r="R95" s="866"/>
      <c r="S95" s="866"/>
      <c r="T95" s="757" t="s">
        <v>2123</v>
      </c>
      <c r="U95" s="757"/>
      <c r="V95" s="757"/>
      <c r="W95" s="757"/>
      <c r="X95" s="757"/>
      <c r="Y95" s="908"/>
      <c r="Z95" s="760"/>
      <c r="AA95" s="763"/>
      <c r="AB95" s="760"/>
      <c r="AC95" s="760"/>
      <c r="AD95" s="760"/>
    </row>
    <row r="96" spans="1:30" ht="99" customHeight="1">
      <c r="A96" s="759"/>
      <c r="B96" s="812">
        <v>79</v>
      </c>
      <c r="C96" s="757" t="s">
        <v>1060</v>
      </c>
      <c r="D96" s="876"/>
      <c r="E96" s="757"/>
      <c r="F96" s="757"/>
      <c r="G96" s="757"/>
      <c r="H96" s="804"/>
      <c r="I96" s="912">
        <f t="shared" si="13"/>
        <v>0</v>
      </c>
      <c r="J96" s="912">
        <f t="shared" si="14"/>
        <v>0</v>
      </c>
      <c r="K96" s="912">
        <f t="shared" si="15"/>
        <v>0</v>
      </c>
      <c r="L96" s="758" t="str">
        <f t="shared" si="16"/>
        <v/>
      </c>
      <c r="M96" s="758" t="str">
        <f t="shared" si="17"/>
        <v/>
      </c>
      <c r="N96" s="758" t="str">
        <f t="shared" si="18"/>
        <v/>
      </c>
      <c r="O96" s="866" t="s">
        <v>1473</v>
      </c>
      <c r="P96" s="866"/>
      <c r="Q96" s="866"/>
      <c r="R96" s="866"/>
      <c r="S96" s="866"/>
      <c r="T96" s="757" t="s">
        <v>2124</v>
      </c>
      <c r="U96" s="757"/>
      <c r="V96" s="757"/>
      <c r="W96" s="757"/>
      <c r="X96" s="757"/>
      <c r="Y96" s="908"/>
      <c r="Z96" s="760" t="s">
        <v>2125</v>
      </c>
      <c r="AA96" s="763"/>
      <c r="AB96" s="760"/>
      <c r="AC96" s="760"/>
      <c r="AD96" s="760"/>
    </row>
    <row r="97" spans="1:30" ht="63" customHeight="1">
      <c r="A97" s="759"/>
      <c r="B97" s="812">
        <v>80</v>
      </c>
      <c r="C97" s="757" t="s">
        <v>2126</v>
      </c>
      <c r="D97" s="876"/>
      <c r="E97" s="757"/>
      <c r="F97" s="757"/>
      <c r="G97" s="757"/>
      <c r="H97" s="804"/>
      <c r="I97" s="912">
        <f t="shared" si="13"/>
        <v>0</v>
      </c>
      <c r="J97" s="912">
        <f t="shared" si="14"/>
        <v>0</v>
      </c>
      <c r="K97" s="912">
        <f t="shared" si="15"/>
        <v>0</v>
      </c>
      <c r="L97" s="758" t="str">
        <f t="shared" si="16"/>
        <v/>
      </c>
      <c r="M97" s="758" t="str">
        <f t="shared" si="17"/>
        <v/>
      </c>
      <c r="N97" s="758" t="str">
        <f t="shared" si="18"/>
        <v/>
      </c>
      <c r="O97" s="866" t="s">
        <v>1484</v>
      </c>
      <c r="P97" s="866"/>
      <c r="Q97" s="866"/>
      <c r="R97" s="866"/>
      <c r="S97" s="866"/>
      <c r="T97" s="757" t="s">
        <v>2127</v>
      </c>
      <c r="U97" s="757"/>
      <c r="V97" s="757"/>
      <c r="W97" s="757"/>
      <c r="X97" s="757"/>
      <c r="Y97" s="908"/>
      <c r="Z97" s="760" t="s">
        <v>2128</v>
      </c>
      <c r="AA97" s="763"/>
      <c r="AB97" s="760"/>
      <c r="AC97" s="760"/>
      <c r="AD97" s="760"/>
    </row>
    <row r="98" spans="1:30" ht="63" customHeight="1">
      <c r="A98" s="759"/>
      <c r="B98" s="812">
        <v>81</v>
      </c>
      <c r="C98" s="757" t="s">
        <v>2129</v>
      </c>
      <c r="D98" s="876"/>
      <c r="E98" s="757"/>
      <c r="F98" s="757"/>
      <c r="G98" s="757"/>
      <c r="H98" s="804"/>
      <c r="I98" s="912">
        <f t="shared" si="13"/>
        <v>0</v>
      </c>
      <c r="J98" s="912">
        <f t="shared" si="14"/>
        <v>0</v>
      </c>
      <c r="K98" s="912">
        <f t="shared" si="15"/>
        <v>0</v>
      </c>
      <c r="L98" s="758" t="str">
        <f t="shared" si="16"/>
        <v/>
      </c>
      <c r="M98" s="758" t="str">
        <f t="shared" si="17"/>
        <v/>
      </c>
      <c r="N98" s="758" t="str">
        <f t="shared" si="18"/>
        <v/>
      </c>
      <c r="O98" s="866" t="s">
        <v>1498</v>
      </c>
      <c r="P98" s="866"/>
      <c r="Q98" s="866"/>
      <c r="R98" s="866"/>
      <c r="S98" s="866"/>
      <c r="T98" s="757" t="s">
        <v>2130</v>
      </c>
      <c r="U98" s="757"/>
      <c r="V98" s="757"/>
      <c r="W98" s="757"/>
      <c r="X98" s="757"/>
      <c r="Y98" s="908"/>
      <c r="Z98" s="760" t="s">
        <v>2128</v>
      </c>
      <c r="AA98" s="763"/>
      <c r="AB98" s="760"/>
      <c r="AC98" s="760"/>
      <c r="AD98" s="760"/>
    </row>
    <row r="99" spans="1:30" ht="90" customHeight="1">
      <c r="A99" s="759"/>
      <c r="B99" s="812">
        <v>82</v>
      </c>
      <c r="C99" s="757" t="s">
        <v>2131</v>
      </c>
      <c r="D99" s="876"/>
      <c r="E99" s="757"/>
      <c r="F99" s="757"/>
      <c r="G99" s="757"/>
      <c r="H99" s="804"/>
      <c r="I99" s="912">
        <f t="shared" si="13"/>
        <v>0</v>
      </c>
      <c r="J99" s="912">
        <f t="shared" si="14"/>
        <v>0</v>
      </c>
      <c r="K99" s="912">
        <f t="shared" si="15"/>
        <v>0</v>
      </c>
      <c r="L99" s="758" t="str">
        <f t="shared" si="16"/>
        <v/>
      </c>
      <c r="M99" s="758" t="str">
        <f t="shared" si="17"/>
        <v/>
      </c>
      <c r="N99" s="758" t="str">
        <f t="shared" si="18"/>
        <v/>
      </c>
      <c r="O99" s="866" t="s">
        <v>1510</v>
      </c>
      <c r="P99" s="866"/>
      <c r="Q99" s="866"/>
      <c r="R99" s="866"/>
      <c r="S99" s="866"/>
      <c r="T99" s="757" t="s">
        <v>2132</v>
      </c>
      <c r="U99" s="757"/>
      <c r="V99" s="757"/>
      <c r="W99" s="757"/>
      <c r="X99" s="757"/>
      <c r="Y99" s="908"/>
      <c r="Z99" s="760" t="s">
        <v>787</v>
      </c>
      <c r="AA99" s="763"/>
      <c r="AB99" s="760"/>
      <c r="AC99" s="760"/>
      <c r="AD99" s="760"/>
    </row>
    <row r="100" spans="1:30" ht="27" customHeight="1">
      <c r="A100" s="759"/>
      <c r="B100" s="812">
        <v>83</v>
      </c>
      <c r="C100" s="757"/>
      <c r="D100" s="876"/>
      <c r="E100" s="757"/>
      <c r="F100" s="757"/>
      <c r="G100" s="757"/>
      <c r="H100" s="804"/>
      <c r="I100" s="912">
        <f t="shared" si="13"/>
        <v>0</v>
      </c>
      <c r="J100" s="912">
        <f t="shared" si="14"/>
        <v>0</v>
      </c>
      <c r="K100" s="912">
        <f t="shared" si="15"/>
        <v>0</v>
      </c>
      <c r="L100" s="758" t="str">
        <f t="shared" si="16"/>
        <v/>
      </c>
      <c r="M100" s="758" t="str">
        <f t="shared" si="17"/>
        <v/>
      </c>
      <c r="N100" s="758" t="str">
        <f t="shared" si="18"/>
        <v/>
      </c>
      <c r="O100" s="866" t="s">
        <v>2133</v>
      </c>
      <c r="P100" s="866"/>
      <c r="Q100" s="866"/>
      <c r="R100" s="866"/>
      <c r="S100" s="866"/>
      <c r="T100" s="757" t="s">
        <v>2134</v>
      </c>
      <c r="U100" s="757"/>
      <c r="V100" s="757"/>
      <c r="W100" s="757"/>
      <c r="X100" s="757"/>
      <c r="Y100" s="908"/>
      <c r="Z100" s="760" t="s">
        <v>787</v>
      </c>
      <c r="AA100" s="763"/>
      <c r="AB100" s="760"/>
      <c r="AC100" s="760"/>
      <c r="AD100" s="760"/>
    </row>
    <row r="101" spans="1:30" ht="27" customHeight="1">
      <c r="A101" s="759"/>
      <c r="B101" s="812">
        <v>84</v>
      </c>
      <c r="C101" s="757"/>
      <c r="D101" s="876"/>
      <c r="E101" s="757"/>
      <c r="F101" s="757"/>
      <c r="G101" s="757"/>
      <c r="H101" s="804"/>
      <c r="I101" s="912">
        <f t="shared" si="13"/>
        <v>0</v>
      </c>
      <c r="J101" s="912">
        <f t="shared" si="14"/>
        <v>0</v>
      </c>
      <c r="K101" s="912">
        <f t="shared" si="15"/>
        <v>0</v>
      </c>
      <c r="L101" s="758" t="str">
        <f t="shared" si="16"/>
        <v/>
      </c>
      <c r="M101" s="758" t="str">
        <f t="shared" si="17"/>
        <v/>
      </c>
      <c r="N101" s="758" t="str">
        <f t="shared" si="18"/>
        <v/>
      </c>
      <c r="O101" s="866" t="s">
        <v>2135</v>
      </c>
      <c r="P101" s="866"/>
      <c r="Q101" s="866"/>
      <c r="R101" s="866"/>
      <c r="S101" s="866"/>
      <c r="T101" s="757" t="s">
        <v>2136</v>
      </c>
      <c r="U101" s="757"/>
      <c r="V101" s="757"/>
      <c r="W101" s="757"/>
      <c r="X101" s="757"/>
      <c r="Y101" s="908"/>
      <c r="Z101" s="760" t="s">
        <v>787</v>
      </c>
      <c r="AA101" s="763"/>
      <c r="AB101" s="760"/>
      <c r="AC101" s="760"/>
      <c r="AD101" s="760"/>
    </row>
    <row r="102" spans="1:30" ht="9" customHeight="1">
      <c r="A102" s="759"/>
      <c r="B102" s="759"/>
      <c r="C102" s="757"/>
      <c r="D102" s="757"/>
      <c r="E102" s="757"/>
      <c r="F102" s="757"/>
      <c r="G102" s="757"/>
      <c r="H102" s="804"/>
      <c r="I102" s="804"/>
      <c r="J102" s="804"/>
      <c r="K102" s="804"/>
      <c r="L102" s="804"/>
      <c r="M102" s="757"/>
      <c r="N102" s="803"/>
      <c r="O102" s="866"/>
      <c r="P102" s="866"/>
      <c r="Q102" s="866"/>
      <c r="R102" s="866"/>
      <c r="S102" s="757"/>
      <c r="T102" s="757"/>
      <c r="U102" s="757"/>
      <c r="V102" s="757"/>
      <c r="W102" s="757"/>
      <c r="X102" s="757"/>
      <c r="Y102" s="908"/>
      <c r="Z102" s="760"/>
      <c r="AA102" s="763"/>
      <c r="AB102" s="760"/>
      <c r="AC102" s="760"/>
      <c r="AD102" s="760"/>
    </row>
    <row r="103" spans="1:30" ht="9" customHeight="1">
      <c r="A103" s="759"/>
      <c r="B103" s="759"/>
      <c r="C103" s="757"/>
      <c r="D103" s="757"/>
      <c r="E103" s="757"/>
      <c r="F103" s="757"/>
      <c r="G103" s="757"/>
      <c r="H103" s="804"/>
      <c r="I103" s="804"/>
      <c r="J103" s="804"/>
      <c r="K103" s="804"/>
      <c r="L103" s="804"/>
      <c r="M103" s="757"/>
      <c r="N103" s="803"/>
      <c r="O103" s="866"/>
      <c r="P103" s="866"/>
      <c r="Q103" s="866"/>
      <c r="R103" s="866"/>
      <c r="S103" s="757"/>
      <c r="T103" s="757"/>
      <c r="U103" s="757"/>
      <c r="V103" s="757"/>
      <c r="W103" s="757"/>
      <c r="X103" s="757"/>
      <c r="Y103" s="908"/>
      <c r="Z103" s="760"/>
      <c r="AA103" s="763"/>
      <c r="AB103" s="760"/>
      <c r="AC103" s="760"/>
      <c r="AD103" s="760"/>
    </row>
    <row r="104" spans="1:30" ht="9" customHeight="1">
      <c r="A104" s="759"/>
      <c r="B104" s="759"/>
      <c r="C104" s="757"/>
      <c r="D104" s="757"/>
      <c r="E104" s="757"/>
      <c r="F104" s="757"/>
      <c r="G104" s="757"/>
      <c r="H104" s="804"/>
      <c r="I104" s="804"/>
      <c r="J104" s="804"/>
      <c r="K104" s="804"/>
      <c r="L104" s="804"/>
      <c r="M104" s="757"/>
      <c r="N104" s="803"/>
      <c r="O104" s="866"/>
      <c r="P104" s="866"/>
      <c r="Q104" s="866"/>
      <c r="R104" s="866"/>
      <c r="S104" s="757"/>
      <c r="T104" s="757"/>
      <c r="U104" s="757"/>
      <c r="V104" s="757"/>
      <c r="W104" s="757"/>
      <c r="X104" s="757"/>
      <c r="Y104" s="908"/>
      <c r="Z104" s="760"/>
      <c r="AA104" s="763"/>
      <c r="AB104" s="760"/>
      <c r="AC104" s="760"/>
      <c r="AD104" s="760"/>
    </row>
    <row r="105" spans="1:30" ht="9" customHeight="1">
      <c r="A105" s="759"/>
      <c r="B105" s="759"/>
      <c r="C105" s="757"/>
      <c r="D105" s="757"/>
      <c r="E105" s="757"/>
      <c r="F105" s="757"/>
      <c r="G105" s="757"/>
      <c r="H105" s="804"/>
      <c r="I105" s="804"/>
      <c r="J105" s="804"/>
      <c r="K105" s="804"/>
      <c r="L105" s="804"/>
      <c r="M105" s="757"/>
      <c r="N105" s="803"/>
      <c r="O105" s="866"/>
      <c r="P105" s="866"/>
      <c r="Q105" s="866"/>
      <c r="R105" s="866"/>
      <c r="S105" s="757"/>
      <c r="T105" s="757"/>
      <c r="U105" s="757"/>
      <c r="V105" s="757"/>
      <c r="W105" s="757"/>
      <c r="X105" s="757"/>
      <c r="Y105" s="908"/>
      <c r="Z105" s="760"/>
      <c r="AA105" s="763"/>
      <c r="AB105" s="760"/>
      <c r="AC105" s="760"/>
      <c r="AD105" s="760"/>
    </row>
    <row r="106" spans="1:30" ht="9" customHeight="1">
      <c r="A106" s="759"/>
      <c r="B106" s="759"/>
      <c r="C106" s="757"/>
      <c r="D106" s="757"/>
      <c r="E106" s="757"/>
      <c r="F106" s="757"/>
      <c r="G106" s="757"/>
      <c r="H106" s="804"/>
      <c r="I106" s="804"/>
      <c r="J106" s="804"/>
      <c r="K106" s="804"/>
      <c r="L106" s="804"/>
      <c r="M106" s="757"/>
      <c r="N106" s="803"/>
      <c r="O106" s="866"/>
      <c r="P106" s="866"/>
      <c r="Q106" s="866"/>
      <c r="R106" s="866"/>
      <c r="S106" s="757"/>
      <c r="T106" s="757"/>
      <c r="U106" s="757"/>
      <c r="V106" s="757"/>
      <c r="W106" s="757"/>
      <c r="X106" s="757"/>
      <c r="Y106" s="908"/>
      <c r="Z106" s="760"/>
      <c r="AA106" s="763"/>
      <c r="AB106" s="760"/>
      <c r="AC106" s="760"/>
      <c r="AD106" s="760"/>
    </row>
    <row r="107" spans="1:30" ht="9" customHeight="1">
      <c r="A107" s="759"/>
      <c r="B107" s="759"/>
      <c r="C107" s="757"/>
      <c r="D107" s="757"/>
      <c r="E107" s="757"/>
      <c r="F107" s="757"/>
      <c r="G107" s="757"/>
      <c r="H107" s="804"/>
      <c r="I107" s="804"/>
      <c r="J107" s="804"/>
      <c r="K107" s="804"/>
      <c r="L107" s="804"/>
      <c r="M107" s="757"/>
      <c r="N107" s="803"/>
      <c r="O107" s="866"/>
      <c r="P107" s="866"/>
      <c r="Q107" s="866"/>
      <c r="R107" s="866"/>
      <c r="S107" s="757"/>
      <c r="T107" s="757"/>
      <c r="U107" s="757"/>
      <c r="V107" s="757"/>
      <c r="W107" s="757"/>
      <c r="X107" s="757"/>
      <c r="Y107" s="908"/>
      <c r="Z107" s="760"/>
      <c r="AA107" s="763"/>
      <c r="AB107" s="760"/>
      <c r="AC107" s="760"/>
      <c r="AD107" s="760"/>
    </row>
    <row r="108" spans="1:30" ht="9" customHeight="1">
      <c r="A108" s="759"/>
      <c r="B108" s="759"/>
      <c r="C108" s="757"/>
      <c r="D108" s="757"/>
      <c r="E108" s="757"/>
      <c r="F108" s="757"/>
      <c r="G108" s="757"/>
      <c r="H108" s="804"/>
      <c r="I108" s="804"/>
      <c r="J108" s="804"/>
      <c r="K108" s="804"/>
      <c r="L108" s="804"/>
      <c r="M108" s="757"/>
      <c r="N108" s="803"/>
      <c r="O108" s="866"/>
      <c r="P108" s="866"/>
      <c r="Q108" s="866"/>
      <c r="R108" s="866"/>
      <c r="S108" s="757"/>
      <c r="T108" s="757"/>
      <c r="U108" s="757"/>
      <c r="V108" s="757"/>
      <c r="W108" s="757"/>
      <c r="X108" s="757"/>
      <c r="Y108" s="908"/>
      <c r="Z108" s="760"/>
      <c r="AA108" s="763"/>
      <c r="AB108" s="760"/>
      <c r="AC108" s="760"/>
      <c r="AD108" s="760"/>
    </row>
    <row r="109" spans="1:30" ht="9" customHeight="1">
      <c r="A109" s="759"/>
      <c r="B109" s="759"/>
      <c r="C109" s="757"/>
      <c r="D109" s="757"/>
      <c r="E109" s="757"/>
      <c r="F109" s="757"/>
      <c r="G109" s="757"/>
      <c r="H109" s="804"/>
      <c r="I109" s="804"/>
      <c r="J109" s="804"/>
      <c r="K109" s="804"/>
      <c r="L109" s="804"/>
      <c r="M109" s="757"/>
      <c r="N109" s="803"/>
      <c r="O109" s="866"/>
      <c r="P109" s="866"/>
      <c r="Q109" s="866"/>
      <c r="R109" s="866"/>
      <c r="S109" s="757"/>
      <c r="T109" s="757"/>
      <c r="U109" s="757"/>
      <c r="V109" s="757"/>
      <c r="W109" s="757"/>
      <c r="X109" s="757"/>
      <c r="Y109" s="908"/>
      <c r="Z109" s="760"/>
      <c r="AA109" s="763"/>
      <c r="AB109" s="760"/>
      <c r="AC109" s="760"/>
      <c r="AD109" s="760"/>
    </row>
    <row r="110" spans="1:30" ht="9" customHeight="1">
      <c r="A110" s="759"/>
      <c r="B110" s="759"/>
      <c r="C110" s="757"/>
      <c r="D110" s="757"/>
      <c r="E110" s="757"/>
      <c r="F110" s="757"/>
      <c r="G110" s="757"/>
      <c r="H110" s="804"/>
      <c r="I110" s="804"/>
      <c r="J110" s="804"/>
      <c r="K110" s="804"/>
      <c r="L110" s="804"/>
      <c r="M110" s="757"/>
      <c r="N110" s="803"/>
      <c r="O110" s="866"/>
      <c r="P110" s="866"/>
      <c r="Q110" s="866"/>
      <c r="R110" s="866"/>
      <c r="S110" s="757"/>
      <c r="T110" s="757"/>
      <c r="U110" s="757"/>
      <c r="V110" s="757"/>
      <c r="W110" s="757"/>
      <c r="X110" s="757"/>
      <c r="Y110" s="908"/>
      <c r="Z110" s="760"/>
      <c r="AA110" s="763"/>
      <c r="AB110" s="760"/>
      <c r="AC110" s="760"/>
      <c r="AD110" s="760"/>
    </row>
    <row r="111" spans="1:30" ht="9" customHeight="1">
      <c r="A111" s="759"/>
      <c r="B111" s="759"/>
      <c r="C111" s="757"/>
      <c r="D111" s="757"/>
      <c r="E111" s="757"/>
      <c r="F111" s="757"/>
      <c r="G111" s="757"/>
      <c r="H111" s="804"/>
      <c r="I111" s="804"/>
      <c r="J111" s="804"/>
      <c r="K111" s="804"/>
      <c r="L111" s="804"/>
      <c r="M111" s="757"/>
      <c r="N111" s="803"/>
      <c r="O111" s="866"/>
      <c r="P111" s="866"/>
      <c r="Q111" s="866"/>
      <c r="R111" s="866"/>
      <c r="S111" s="757"/>
      <c r="T111" s="757"/>
      <c r="U111" s="757"/>
      <c r="V111" s="757"/>
      <c r="W111" s="757"/>
      <c r="X111" s="757"/>
      <c r="Y111" s="908"/>
      <c r="Z111" s="760"/>
      <c r="AA111" s="763"/>
      <c r="AB111" s="760"/>
      <c r="AC111" s="760"/>
      <c r="AD111" s="760"/>
    </row>
    <row r="112" spans="1:30" ht="9" customHeight="1">
      <c r="A112" s="759"/>
      <c r="B112" s="759"/>
      <c r="C112" s="757"/>
      <c r="D112" s="757"/>
      <c r="E112" s="757"/>
      <c r="F112" s="757"/>
      <c r="G112" s="757"/>
      <c r="H112" s="804"/>
      <c r="I112" s="804"/>
      <c r="J112" s="804"/>
      <c r="K112" s="804"/>
      <c r="L112" s="804"/>
      <c r="M112" s="757"/>
      <c r="N112" s="803"/>
      <c r="O112" s="866"/>
      <c r="P112" s="866"/>
      <c r="Q112" s="866"/>
      <c r="R112" s="866"/>
      <c r="S112" s="757"/>
      <c r="T112" s="757"/>
      <c r="U112" s="757"/>
      <c r="V112" s="757"/>
      <c r="W112" s="757"/>
      <c r="X112" s="757"/>
      <c r="Y112" s="908"/>
      <c r="Z112" s="760"/>
      <c r="AA112" s="763"/>
      <c r="AB112" s="760"/>
      <c r="AC112" s="760"/>
      <c r="AD112" s="760"/>
    </row>
    <row r="113" spans="1:30" ht="9" customHeight="1">
      <c r="A113" s="759"/>
      <c r="B113" s="759"/>
      <c r="C113" s="757"/>
      <c r="D113" s="757"/>
      <c r="E113" s="757"/>
      <c r="F113" s="757"/>
      <c r="G113" s="757"/>
      <c r="H113" s="804"/>
      <c r="I113" s="804"/>
      <c r="J113" s="804"/>
      <c r="K113" s="804"/>
      <c r="L113" s="804"/>
      <c r="M113" s="757"/>
      <c r="N113" s="803"/>
      <c r="O113" s="866"/>
      <c r="P113" s="866"/>
      <c r="Q113" s="866"/>
      <c r="R113" s="866"/>
      <c r="S113" s="757"/>
      <c r="T113" s="757"/>
      <c r="U113" s="757"/>
      <c r="V113" s="757"/>
      <c r="W113" s="757"/>
      <c r="X113" s="757"/>
      <c r="Y113" s="908"/>
      <c r="Z113" s="760"/>
      <c r="AA113" s="763"/>
      <c r="AB113" s="760"/>
      <c r="AC113" s="760"/>
      <c r="AD113" s="760"/>
    </row>
    <row r="114" spans="1:30" ht="9" customHeight="1">
      <c r="A114" s="759"/>
      <c r="B114" s="759"/>
      <c r="C114" s="757"/>
      <c r="D114" s="757"/>
      <c r="E114" s="757"/>
      <c r="F114" s="757"/>
      <c r="G114" s="757"/>
      <c r="H114" s="804"/>
      <c r="I114" s="804"/>
      <c r="J114" s="804"/>
      <c r="K114" s="804"/>
      <c r="L114" s="804"/>
      <c r="M114" s="757"/>
      <c r="N114" s="803"/>
      <c r="O114" s="866"/>
      <c r="P114" s="866"/>
      <c r="Q114" s="866"/>
      <c r="R114" s="866"/>
      <c r="S114" s="757"/>
      <c r="T114" s="757"/>
      <c r="U114" s="757"/>
      <c r="V114" s="757"/>
      <c r="W114" s="757"/>
      <c r="X114" s="757"/>
      <c r="Y114" s="908"/>
      <c r="Z114" s="760"/>
      <c r="AA114" s="763"/>
      <c r="AB114" s="760"/>
      <c r="AC114" s="760"/>
      <c r="AD114" s="760"/>
    </row>
    <row r="115" spans="1:30" ht="9" customHeight="1">
      <c r="A115" s="759"/>
      <c r="B115" s="759"/>
      <c r="C115" s="757"/>
      <c r="D115" s="757"/>
      <c r="E115" s="757"/>
      <c r="F115" s="757"/>
      <c r="G115" s="757"/>
      <c r="H115" s="804"/>
      <c r="I115" s="804"/>
      <c r="J115" s="804"/>
      <c r="K115" s="804"/>
      <c r="L115" s="804"/>
      <c r="M115" s="757"/>
      <c r="N115" s="803"/>
      <c r="O115" s="866"/>
      <c r="P115" s="866"/>
      <c r="Q115" s="866"/>
      <c r="R115" s="866"/>
      <c r="S115" s="757"/>
      <c r="T115" s="757"/>
      <c r="U115" s="757"/>
      <c r="V115" s="757"/>
      <c r="W115" s="757"/>
      <c r="X115" s="757"/>
      <c r="Y115" s="908"/>
      <c r="Z115" s="760"/>
      <c r="AA115" s="763"/>
      <c r="AB115" s="760"/>
      <c r="AC115" s="760"/>
      <c r="AD115" s="760"/>
    </row>
    <row r="116" spans="1:30" ht="9" customHeight="1">
      <c r="A116" s="759"/>
      <c r="B116" s="759"/>
      <c r="C116" s="757"/>
      <c r="D116" s="757"/>
      <c r="E116" s="757"/>
      <c r="F116" s="757"/>
      <c r="G116" s="757"/>
      <c r="H116" s="804"/>
      <c r="I116" s="804"/>
      <c r="J116" s="804"/>
      <c r="K116" s="804"/>
      <c r="L116" s="804"/>
      <c r="M116" s="757"/>
      <c r="N116" s="803"/>
      <c r="O116" s="866"/>
      <c r="P116" s="866"/>
      <c r="Q116" s="866"/>
      <c r="R116" s="866"/>
      <c r="S116" s="757"/>
      <c r="T116" s="757"/>
      <c r="U116" s="757"/>
      <c r="V116" s="757"/>
      <c r="W116" s="757"/>
      <c r="X116" s="757"/>
      <c r="Y116" s="908"/>
      <c r="Z116" s="760"/>
      <c r="AA116" s="763"/>
      <c r="AB116" s="760"/>
      <c r="AC116" s="760"/>
      <c r="AD116" s="760"/>
    </row>
    <row r="117" spans="1:30" ht="9" customHeight="1">
      <c r="A117" s="759"/>
      <c r="B117" s="759"/>
      <c r="C117" s="757"/>
      <c r="D117" s="757"/>
      <c r="E117" s="757"/>
      <c r="F117" s="757"/>
      <c r="G117" s="757"/>
      <c r="H117" s="804"/>
      <c r="I117" s="804"/>
      <c r="J117" s="804"/>
      <c r="K117" s="804"/>
      <c r="L117" s="804"/>
      <c r="M117" s="757"/>
      <c r="N117" s="803"/>
      <c r="O117" s="866"/>
      <c r="P117" s="866"/>
      <c r="Q117" s="866"/>
      <c r="R117" s="866"/>
      <c r="S117" s="757"/>
      <c r="T117" s="757"/>
      <c r="U117" s="757"/>
      <c r="V117" s="757"/>
      <c r="W117" s="757"/>
      <c r="X117" s="757"/>
      <c r="Y117" s="908"/>
      <c r="Z117" s="760"/>
      <c r="AA117" s="763"/>
      <c r="AB117" s="760"/>
      <c r="AC117" s="760"/>
      <c r="AD117" s="760"/>
    </row>
    <row r="118" spans="1:30" ht="9" customHeight="1">
      <c r="A118" s="759"/>
      <c r="B118" s="759"/>
      <c r="C118" s="757"/>
      <c r="D118" s="757"/>
      <c r="E118" s="757"/>
      <c r="F118" s="757"/>
      <c r="G118" s="757"/>
      <c r="H118" s="804"/>
      <c r="I118" s="804"/>
      <c r="J118" s="804"/>
      <c r="K118" s="804"/>
      <c r="L118" s="804"/>
      <c r="M118" s="757"/>
      <c r="N118" s="803"/>
      <c r="O118" s="866"/>
      <c r="P118" s="866"/>
      <c r="Q118" s="866"/>
      <c r="R118" s="866"/>
      <c r="S118" s="757"/>
      <c r="T118" s="757"/>
      <c r="U118" s="757"/>
      <c r="V118" s="757"/>
      <c r="W118" s="757"/>
      <c r="X118" s="757"/>
      <c r="Y118" s="908"/>
      <c r="Z118" s="760"/>
      <c r="AA118" s="763"/>
      <c r="AB118" s="760"/>
      <c r="AC118" s="760"/>
      <c r="AD118" s="760"/>
    </row>
    <row r="119" spans="1:30" ht="9" customHeight="1">
      <c r="A119" s="759"/>
      <c r="B119" s="759"/>
      <c r="C119" s="757"/>
      <c r="D119" s="757"/>
      <c r="E119" s="757"/>
      <c r="F119" s="757"/>
      <c r="G119" s="757"/>
      <c r="H119" s="804"/>
      <c r="I119" s="804"/>
      <c r="J119" s="804"/>
      <c r="K119" s="804"/>
      <c r="L119" s="804"/>
      <c r="M119" s="757"/>
      <c r="N119" s="803"/>
      <c r="O119" s="866"/>
      <c r="P119" s="866"/>
      <c r="Q119" s="866"/>
      <c r="R119" s="866"/>
      <c r="S119" s="757"/>
      <c r="T119" s="757"/>
      <c r="U119" s="757"/>
      <c r="V119" s="757"/>
      <c r="W119" s="757"/>
      <c r="X119" s="757"/>
      <c r="Y119" s="908"/>
      <c r="Z119" s="760"/>
      <c r="AA119" s="763"/>
      <c r="AB119" s="760"/>
      <c r="AC119" s="760"/>
      <c r="AD119" s="760"/>
    </row>
    <row r="120" spans="1:30" ht="9" customHeight="1">
      <c r="A120" s="759"/>
      <c r="B120" s="759"/>
      <c r="C120" s="757"/>
      <c r="D120" s="757"/>
      <c r="E120" s="757"/>
      <c r="F120" s="757"/>
      <c r="G120" s="757"/>
      <c r="H120" s="804"/>
      <c r="I120" s="804"/>
      <c r="J120" s="804"/>
      <c r="K120" s="804"/>
      <c r="L120" s="804"/>
      <c r="M120" s="757"/>
      <c r="N120" s="803"/>
      <c r="O120" s="866"/>
      <c r="P120" s="866"/>
      <c r="Q120" s="866"/>
      <c r="R120" s="866"/>
      <c r="S120" s="757"/>
      <c r="T120" s="757"/>
      <c r="U120" s="757"/>
      <c r="V120" s="757"/>
      <c r="W120" s="757"/>
      <c r="X120" s="757"/>
      <c r="Y120" s="908"/>
      <c r="Z120" s="760"/>
      <c r="AA120" s="763"/>
      <c r="AB120" s="760"/>
      <c r="AC120" s="760"/>
      <c r="AD120" s="760"/>
    </row>
    <row r="121" spans="1:30" ht="9" customHeight="1">
      <c r="A121" s="759"/>
      <c r="B121" s="759"/>
      <c r="C121" s="757"/>
      <c r="D121" s="757"/>
      <c r="E121" s="757"/>
      <c r="F121" s="757"/>
      <c r="G121" s="757"/>
      <c r="H121" s="804"/>
      <c r="I121" s="804"/>
      <c r="J121" s="804"/>
      <c r="K121" s="804"/>
      <c r="L121" s="804"/>
      <c r="M121" s="757"/>
      <c r="N121" s="803"/>
      <c r="O121" s="866"/>
      <c r="P121" s="866"/>
      <c r="Q121" s="866"/>
      <c r="R121" s="866"/>
      <c r="S121" s="757"/>
      <c r="T121" s="757"/>
      <c r="U121" s="757"/>
      <c r="V121" s="757"/>
      <c r="W121" s="757"/>
      <c r="X121" s="757"/>
      <c r="Y121" s="908"/>
      <c r="Z121" s="760"/>
      <c r="AA121" s="763"/>
      <c r="AB121" s="760"/>
      <c r="AC121" s="760"/>
      <c r="AD121" s="760"/>
    </row>
    <row r="122" spans="1:30" ht="9" customHeight="1">
      <c r="A122" s="759"/>
      <c r="B122" s="759"/>
      <c r="C122" s="757"/>
      <c r="D122" s="757"/>
      <c r="E122" s="757"/>
      <c r="F122" s="757"/>
      <c r="G122" s="757"/>
      <c r="H122" s="804"/>
      <c r="I122" s="804"/>
      <c r="J122" s="804"/>
      <c r="K122" s="804"/>
      <c r="L122" s="804"/>
      <c r="M122" s="757"/>
      <c r="N122" s="803"/>
      <c r="O122" s="866"/>
      <c r="P122" s="866"/>
      <c r="Q122" s="866"/>
      <c r="R122" s="866"/>
      <c r="S122" s="757"/>
      <c r="T122" s="757"/>
      <c r="U122" s="757"/>
      <c r="V122" s="757"/>
      <c r="W122" s="757"/>
      <c r="X122" s="757"/>
      <c r="Y122" s="908"/>
      <c r="Z122" s="760"/>
      <c r="AA122" s="763"/>
      <c r="AB122" s="760"/>
      <c r="AC122" s="760"/>
      <c r="AD122" s="760"/>
    </row>
    <row r="123" spans="1:30" ht="9" customHeight="1">
      <c r="A123" s="759"/>
      <c r="B123" s="759"/>
      <c r="C123" s="757"/>
      <c r="D123" s="757"/>
      <c r="E123" s="757"/>
      <c r="F123" s="757"/>
      <c r="G123" s="757"/>
      <c r="H123" s="804"/>
      <c r="I123" s="804"/>
      <c r="J123" s="804"/>
      <c r="K123" s="804"/>
      <c r="L123" s="804"/>
      <c r="M123" s="757"/>
      <c r="N123" s="803"/>
      <c r="O123" s="866"/>
      <c r="P123" s="866"/>
      <c r="Q123" s="866"/>
      <c r="R123" s="866"/>
      <c r="S123" s="757"/>
      <c r="T123" s="757"/>
      <c r="U123" s="757"/>
      <c r="V123" s="757"/>
      <c r="W123" s="757"/>
      <c r="X123" s="757"/>
      <c r="Y123" s="908"/>
      <c r="Z123" s="760"/>
      <c r="AA123" s="763"/>
      <c r="AB123" s="760"/>
      <c r="AC123" s="760"/>
      <c r="AD123" s="760"/>
    </row>
    <row r="124" spans="1:30" ht="9" customHeight="1">
      <c r="A124" s="759"/>
      <c r="B124" s="759"/>
      <c r="C124" s="757"/>
      <c r="D124" s="757"/>
      <c r="E124" s="757"/>
      <c r="F124" s="757"/>
      <c r="G124" s="757"/>
      <c r="H124" s="804"/>
      <c r="I124" s="804"/>
      <c r="J124" s="804"/>
      <c r="K124" s="804"/>
      <c r="L124" s="804"/>
      <c r="M124" s="757"/>
      <c r="N124" s="803"/>
      <c r="O124" s="866"/>
      <c r="P124" s="866"/>
      <c r="Q124" s="866"/>
      <c r="R124" s="866"/>
      <c r="S124" s="757"/>
      <c r="T124" s="757"/>
      <c r="U124" s="757"/>
      <c r="V124" s="757"/>
      <c r="W124" s="757"/>
      <c r="X124" s="757"/>
      <c r="Y124" s="908"/>
      <c r="Z124" s="760"/>
      <c r="AA124" s="763"/>
      <c r="AB124" s="760"/>
      <c r="AC124" s="760"/>
      <c r="AD124" s="760"/>
    </row>
    <row r="125" spans="1:30" ht="9" customHeight="1">
      <c r="A125" s="759"/>
      <c r="B125" s="759"/>
      <c r="C125" s="757"/>
      <c r="D125" s="757"/>
      <c r="E125" s="757"/>
      <c r="F125" s="757"/>
      <c r="G125" s="757"/>
      <c r="H125" s="804"/>
      <c r="I125" s="804"/>
      <c r="J125" s="804"/>
      <c r="K125" s="804"/>
      <c r="L125" s="804"/>
      <c r="M125" s="757"/>
      <c r="N125" s="803"/>
      <c r="O125" s="866"/>
      <c r="P125" s="866"/>
      <c r="Q125" s="866"/>
      <c r="R125" s="866"/>
      <c r="S125" s="757"/>
      <c r="T125" s="757"/>
      <c r="U125" s="757"/>
      <c r="V125" s="757"/>
      <c r="W125" s="757"/>
      <c r="X125" s="757"/>
      <c r="Y125" s="908"/>
      <c r="Z125" s="760"/>
      <c r="AA125" s="763"/>
      <c r="AB125" s="760"/>
      <c r="AC125" s="760"/>
      <c r="AD125" s="760"/>
    </row>
    <row r="126" spans="1:30" ht="9" customHeight="1">
      <c r="A126" s="759"/>
      <c r="B126" s="759"/>
      <c r="C126" s="757"/>
      <c r="D126" s="757"/>
      <c r="E126" s="757"/>
      <c r="F126" s="757"/>
      <c r="G126" s="757"/>
      <c r="H126" s="804"/>
      <c r="I126" s="804"/>
      <c r="J126" s="804"/>
      <c r="K126" s="804"/>
      <c r="L126" s="804"/>
      <c r="M126" s="757"/>
      <c r="N126" s="803"/>
      <c r="O126" s="866"/>
      <c r="P126" s="866"/>
      <c r="Q126" s="866"/>
      <c r="R126" s="866"/>
      <c r="S126" s="757"/>
      <c r="T126" s="757"/>
      <c r="U126" s="757"/>
      <c r="V126" s="757"/>
      <c r="W126" s="757"/>
      <c r="X126" s="757"/>
      <c r="Y126" s="908"/>
      <c r="Z126" s="760"/>
      <c r="AA126" s="763"/>
      <c r="AB126" s="760"/>
      <c r="AC126" s="760"/>
      <c r="AD126" s="760"/>
    </row>
    <row r="127" spans="1:30" ht="9" customHeight="1">
      <c r="A127" s="759"/>
      <c r="B127" s="759"/>
      <c r="C127" s="757"/>
      <c r="D127" s="757"/>
      <c r="E127" s="757"/>
      <c r="F127" s="757"/>
      <c r="G127" s="757"/>
      <c r="H127" s="804"/>
      <c r="I127" s="804"/>
      <c r="J127" s="804"/>
      <c r="K127" s="804"/>
      <c r="L127" s="804"/>
      <c r="M127" s="757"/>
      <c r="N127" s="803"/>
      <c r="O127" s="866"/>
      <c r="P127" s="866"/>
      <c r="Q127" s="866"/>
      <c r="R127" s="866"/>
      <c r="S127" s="757"/>
      <c r="T127" s="757"/>
      <c r="U127" s="757"/>
      <c r="V127" s="757"/>
      <c r="W127" s="757"/>
      <c r="X127" s="757"/>
      <c r="Y127" s="908"/>
      <c r="Z127" s="760"/>
      <c r="AA127" s="763"/>
      <c r="AB127" s="760"/>
      <c r="AC127" s="760"/>
      <c r="AD127" s="760"/>
    </row>
    <row r="128" spans="1:30" ht="9" customHeight="1">
      <c r="A128" s="759"/>
      <c r="B128" s="759"/>
      <c r="C128" s="757"/>
      <c r="D128" s="757"/>
      <c r="E128" s="757"/>
      <c r="F128" s="757"/>
      <c r="G128" s="757"/>
      <c r="H128" s="804"/>
      <c r="I128" s="804"/>
      <c r="J128" s="804"/>
      <c r="K128" s="804"/>
      <c r="L128" s="804"/>
      <c r="M128" s="757"/>
      <c r="N128" s="803"/>
      <c r="O128" s="866"/>
      <c r="P128" s="866"/>
      <c r="Q128" s="866"/>
      <c r="R128" s="866"/>
      <c r="S128" s="757"/>
      <c r="T128" s="757"/>
      <c r="U128" s="757"/>
      <c r="V128" s="757"/>
      <c r="W128" s="757"/>
      <c r="X128" s="757"/>
      <c r="Y128" s="908"/>
      <c r="Z128" s="760"/>
      <c r="AA128" s="763"/>
      <c r="AB128" s="760"/>
      <c r="AC128" s="760"/>
      <c r="AD128" s="760"/>
    </row>
    <row r="129" spans="1:30" ht="9" customHeight="1">
      <c r="A129" s="759"/>
      <c r="B129" s="759"/>
      <c r="C129" s="757"/>
      <c r="D129" s="757"/>
      <c r="E129" s="757"/>
      <c r="F129" s="757"/>
      <c r="G129" s="757"/>
      <c r="H129" s="804"/>
      <c r="I129" s="804"/>
      <c r="J129" s="804"/>
      <c r="K129" s="804"/>
      <c r="L129" s="804"/>
      <c r="M129" s="757"/>
      <c r="N129" s="803"/>
      <c r="O129" s="866"/>
      <c r="P129" s="866"/>
      <c r="Q129" s="866"/>
      <c r="R129" s="866"/>
      <c r="S129" s="757"/>
      <c r="T129" s="757"/>
      <c r="U129" s="757"/>
      <c r="V129" s="757"/>
      <c r="W129" s="757"/>
      <c r="X129" s="757"/>
      <c r="Y129" s="908"/>
      <c r="Z129" s="760"/>
      <c r="AA129" s="763"/>
      <c r="AB129" s="760"/>
      <c r="AC129" s="760"/>
      <c r="AD129" s="760"/>
    </row>
    <row r="130" spans="1:30" ht="9" customHeight="1">
      <c r="A130" s="759"/>
      <c r="B130" s="759"/>
      <c r="C130" s="757"/>
      <c r="D130" s="757"/>
      <c r="E130" s="757"/>
      <c r="F130" s="757"/>
      <c r="G130" s="757"/>
      <c r="H130" s="804"/>
      <c r="I130" s="804"/>
      <c r="J130" s="804"/>
      <c r="K130" s="804"/>
      <c r="L130" s="804"/>
      <c r="M130" s="757"/>
      <c r="N130" s="803"/>
      <c r="O130" s="868"/>
      <c r="P130" s="868"/>
      <c r="Q130" s="868"/>
      <c r="R130" s="868"/>
      <c r="S130" s="757"/>
      <c r="T130" s="757"/>
      <c r="U130" s="757"/>
      <c r="V130" s="757"/>
      <c r="W130" s="757"/>
      <c r="X130" s="757"/>
      <c r="Y130" s="908"/>
      <c r="Z130" s="760"/>
      <c r="AA130" s="763"/>
      <c r="AB130" s="760"/>
      <c r="AC130" s="760"/>
      <c r="AD130" s="760"/>
    </row>
    <row r="131" spans="1:30" ht="9" customHeight="1">
      <c r="A131" s="759"/>
      <c r="B131" s="759"/>
      <c r="C131" s="757"/>
      <c r="D131" s="757"/>
      <c r="E131" s="757"/>
      <c r="F131" s="757"/>
      <c r="G131" s="757"/>
      <c r="H131" s="804"/>
      <c r="I131" s="804"/>
      <c r="J131" s="804"/>
      <c r="K131" s="804"/>
      <c r="L131" s="804"/>
      <c r="M131" s="757"/>
      <c r="N131" s="803"/>
      <c r="O131" s="869"/>
      <c r="P131" s="869"/>
      <c r="Q131" s="869"/>
      <c r="R131" s="869"/>
      <c r="S131" s="757"/>
      <c r="T131" s="757"/>
      <c r="U131" s="757"/>
      <c r="V131" s="757"/>
      <c r="W131" s="757"/>
      <c r="X131" s="757"/>
      <c r="Y131" s="908"/>
      <c r="Z131" s="760"/>
      <c r="AA131" s="763"/>
      <c r="AB131" s="760"/>
      <c r="AC131" s="760"/>
      <c r="AD131" s="760"/>
    </row>
    <row r="132" spans="1:30" ht="9" customHeight="1">
      <c r="A132" s="759"/>
      <c r="B132" s="759"/>
      <c r="C132" s="757"/>
      <c r="D132" s="757"/>
      <c r="E132" s="757"/>
      <c r="F132" s="757"/>
      <c r="G132" s="757"/>
      <c r="H132" s="804"/>
      <c r="I132" s="804"/>
      <c r="J132" s="804"/>
      <c r="K132" s="804"/>
      <c r="L132" s="804"/>
      <c r="M132" s="757"/>
      <c r="N132" s="803"/>
      <c r="O132" s="868"/>
      <c r="P132" s="868"/>
      <c r="Q132" s="868"/>
      <c r="R132" s="868"/>
      <c r="S132" s="757"/>
      <c r="T132" s="757"/>
      <c r="U132" s="757"/>
      <c r="V132" s="757"/>
      <c r="W132" s="757"/>
      <c r="X132" s="757"/>
      <c r="Y132" s="908"/>
      <c r="Z132" s="760"/>
      <c r="AA132" s="763"/>
      <c r="AB132" s="760"/>
      <c r="AC132" s="760"/>
      <c r="AD132" s="760"/>
    </row>
    <row r="133" spans="1:30" ht="9" customHeight="1">
      <c r="A133" s="759"/>
      <c r="B133" s="759"/>
      <c r="C133" s="757"/>
      <c r="D133" s="757"/>
      <c r="E133" s="757"/>
      <c r="F133" s="757"/>
      <c r="G133" s="757"/>
      <c r="H133" s="804"/>
      <c r="I133" s="804"/>
      <c r="J133" s="804"/>
      <c r="K133" s="804"/>
      <c r="L133" s="804"/>
      <c r="M133" s="757"/>
      <c r="N133" s="803"/>
      <c r="O133" s="869"/>
      <c r="P133" s="869"/>
      <c r="Q133" s="869"/>
      <c r="R133" s="869"/>
      <c r="S133" s="757"/>
      <c r="T133" s="757"/>
      <c r="U133" s="757"/>
      <c r="V133" s="757"/>
      <c r="W133" s="757"/>
      <c r="X133" s="757"/>
      <c r="Y133" s="908"/>
      <c r="Z133" s="760"/>
      <c r="AA133" s="763"/>
      <c r="AB133" s="760"/>
      <c r="AC133" s="760"/>
      <c r="AD133" s="760"/>
    </row>
    <row r="134" spans="1:30" ht="9" customHeight="1">
      <c r="A134" s="759"/>
      <c r="B134" s="759"/>
      <c r="C134" s="757"/>
      <c r="D134" s="757"/>
      <c r="E134" s="757"/>
      <c r="F134" s="757"/>
      <c r="G134" s="757"/>
      <c r="H134" s="804"/>
      <c r="I134" s="804"/>
      <c r="J134" s="804"/>
      <c r="K134" s="804"/>
      <c r="L134" s="804"/>
      <c r="M134" s="757"/>
      <c r="N134" s="803"/>
      <c r="O134" s="866"/>
      <c r="P134" s="866"/>
      <c r="Q134" s="866"/>
      <c r="R134" s="866"/>
      <c r="S134" s="757"/>
      <c r="T134" s="757"/>
      <c r="U134" s="757"/>
      <c r="V134" s="757"/>
      <c r="W134" s="757"/>
      <c r="X134" s="757"/>
      <c r="Y134" s="908"/>
      <c r="Z134" s="760"/>
      <c r="AA134" s="763"/>
      <c r="AB134" s="760"/>
      <c r="AC134" s="760"/>
      <c r="AD134" s="760"/>
    </row>
    <row r="135" spans="1:30" ht="9" customHeight="1">
      <c r="A135" s="759"/>
      <c r="B135" s="759"/>
      <c r="C135" s="757"/>
      <c r="D135" s="757"/>
      <c r="E135" s="757"/>
      <c r="F135" s="757"/>
      <c r="G135" s="757"/>
      <c r="H135" s="804"/>
      <c r="I135" s="804"/>
      <c r="J135" s="804"/>
      <c r="K135" s="804"/>
      <c r="L135" s="804"/>
      <c r="M135" s="757"/>
      <c r="N135" s="803"/>
      <c r="O135" s="866"/>
      <c r="P135" s="866"/>
      <c r="Q135" s="866"/>
      <c r="R135" s="866"/>
      <c r="S135" s="757"/>
      <c r="T135" s="757"/>
      <c r="U135" s="757"/>
      <c r="V135" s="757"/>
      <c r="W135" s="757"/>
      <c r="X135" s="757"/>
      <c r="Y135" s="908"/>
      <c r="Z135" s="760"/>
      <c r="AA135" s="763"/>
      <c r="AB135" s="760"/>
      <c r="AC135" s="760"/>
      <c r="AD135" s="760"/>
    </row>
    <row r="136" spans="1:30" ht="9" customHeight="1">
      <c r="A136" s="759"/>
      <c r="B136" s="759"/>
      <c r="C136" s="757"/>
      <c r="D136" s="757"/>
      <c r="E136" s="757"/>
      <c r="F136" s="757"/>
      <c r="G136" s="757"/>
      <c r="H136" s="804"/>
      <c r="I136" s="804"/>
      <c r="J136" s="804"/>
      <c r="K136" s="804"/>
      <c r="L136" s="804"/>
      <c r="M136" s="757"/>
      <c r="N136" s="803"/>
      <c r="O136" s="866"/>
      <c r="P136" s="866"/>
      <c r="Q136" s="866"/>
      <c r="R136" s="866"/>
      <c r="S136" s="757"/>
      <c r="T136" s="757"/>
      <c r="U136" s="757"/>
      <c r="V136" s="757"/>
      <c r="W136" s="757"/>
      <c r="X136" s="757"/>
      <c r="Y136" s="908"/>
      <c r="Z136" s="760"/>
      <c r="AA136" s="763"/>
      <c r="AB136" s="760"/>
      <c r="AC136" s="760"/>
      <c r="AD136" s="760"/>
    </row>
    <row r="137" spans="1:30" ht="9" customHeight="1">
      <c r="A137" s="759"/>
      <c r="B137" s="759"/>
      <c r="C137" s="757"/>
      <c r="D137" s="757"/>
      <c r="E137" s="757"/>
      <c r="F137" s="757"/>
      <c r="G137" s="757"/>
      <c r="H137" s="804"/>
      <c r="I137" s="804"/>
      <c r="J137" s="804"/>
      <c r="K137" s="804"/>
      <c r="L137" s="804"/>
      <c r="M137" s="757"/>
      <c r="N137" s="803"/>
      <c r="O137" s="870"/>
      <c r="P137" s="870"/>
      <c r="Q137" s="870"/>
      <c r="R137" s="870"/>
      <c r="S137" s="757"/>
      <c r="T137" s="757"/>
      <c r="U137" s="757"/>
      <c r="V137" s="757"/>
      <c r="W137" s="757"/>
      <c r="X137" s="757"/>
      <c r="Y137" s="908"/>
      <c r="Z137" s="760"/>
      <c r="AA137" s="763"/>
      <c r="AB137" s="760"/>
      <c r="AC137" s="760"/>
      <c r="AD137" s="760"/>
    </row>
    <row r="138" spans="1:30" ht="9" customHeight="1">
      <c r="A138" s="759"/>
      <c r="B138" s="759"/>
      <c r="C138" s="757"/>
      <c r="D138" s="757"/>
      <c r="E138" s="757"/>
      <c r="F138" s="757"/>
      <c r="G138" s="757"/>
      <c r="H138" s="804"/>
      <c r="I138" s="804"/>
      <c r="J138" s="804"/>
      <c r="K138" s="804"/>
      <c r="L138" s="804"/>
      <c r="M138" s="757"/>
      <c r="N138" s="803"/>
      <c r="O138" s="867"/>
      <c r="P138" s="867"/>
      <c r="Q138" s="867"/>
      <c r="R138" s="867"/>
      <c r="S138" s="757"/>
      <c r="T138" s="757"/>
      <c r="U138" s="757"/>
      <c r="V138" s="757"/>
      <c r="W138" s="757"/>
      <c r="X138" s="757"/>
      <c r="Y138" s="908"/>
      <c r="Z138" s="760"/>
      <c r="AA138" s="763"/>
      <c r="AB138" s="760"/>
      <c r="AC138" s="760"/>
      <c r="AD138" s="760"/>
    </row>
    <row r="139" spans="1:30" ht="9" customHeight="1">
      <c r="A139" s="759"/>
      <c r="B139" s="759"/>
      <c r="C139" s="757"/>
      <c r="D139" s="757"/>
      <c r="E139" s="757"/>
      <c r="F139" s="757"/>
      <c r="G139" s="757"/>
      <c r="H139" s="804"/>
      <c r="I139" s="804"/>
      <c r="J139" s="804"/>
      <c r="K139" s="804"/>
      <c r="L139" s="804"/>
      <c r="M139" s="757"/>
      <c r="N139" s="803"/>
      <c r="O139" s="757"/>
      <c r="P139" s="757"/>
      <c r="Q139" s="757"/>
      <c r="R139" s="757"/>
      <c r="S139" s="757"/>
      <c r="T139" s="757"/>
      <c r="U139" s="757"/>
      <c r="V139" s="757"/>
      <c r="W139" s="757"/>
      <c r="X139" s="757"/>
      <c r="Y139" s="908"/>
      <c r="Z139" s="760"/>
      <c r="AA139" s="763"/>
      <c r="AB139" s="760"/>
      <c r="AC139" s="760"/>
      <c r="AD139" s="760"/>
    </row>
    <row r="140" spans="1:30" ht="9" customHeight="1">
      <c r="A140" s="759"/>
      <c r="B140" s="759"/>
      <c r="C140" s="757"/>
      <c r="D140" s="757"/>
      <c r="E140" s="757"/>
      <c r="F140" s="757"/>
      <c r="G140" s="757"/>
      <c r="H140" s="804"/>
      <c r="I140" s="804"/>
      <c r="J140" s="804"/>
      <c r="K140" s="804"/>
      <c r="L140" s="804"/>
      <c r="M140" s="757"/>
      <c r="N140" s="803"/>
      <c r="O140" s="757"/>
      <c r="P140" s="757"/>
      <c r="Q140" s="757"/>
      <c r="R140" s="757"/>
      <c r="S140" s="757"/>
      <c r="T140" s="757"/>
      <c r="U140" s="757"/>
      <c r="V140" s="757"/>
      <c r="W140" s="757"/>
      <c r="X140" s="757"/>
      <c r="Y140" s="908"/>
      <c r="Z140" s="760"/>
      <c r="AA140" s="763"/>
      <c r="AB140" s="760"/>
      <c r="AC140" s="760"/>
      <c r="AD140" s="760"/>
    </row>
    <row r="141" spans="1:30" ht="9" customHeight="1">
      <c r="A141" s="759"/>
      <c r="B141" s="759"/>
      <c r="C141" s="757"/>
      <c r="D141" s="757"/>
      <c r="E141" s="757"/>
      <c r="F141" s="757"/>
      <c r="G141" s="757"/>
      <c r="H141" s="804"/>
      <c r="I141" s="804"/>
      <c r="J141" s="804"/>
      <c r="K141" s="804"/>
      <c r="L141" s="804"/>
      <c r="M141" s="757"/>
      <c r="N141" s="803"/>
      <c r="O141" s="757"/>
      <c r="P141" s="757"/>
      <c r="Q141" s="757"/>
      <c r="R141" s="757"/>
      <c r="S141" s="757"/>
      <c r="T141" s="757"/>
      <c r="U141" s="757"/>
      <c r="V141" s="757"/>
      <c r="W141" s="757"/>
      <c r="X141" s="757"/>
      <c r="Y141" s="908"/>
      <c r="Z141" s="760"/>
      <c r="AA141" s="763"/>
      <c r="AB141" s="760"/>
      <c r="AC141" s="760"/>
      <c r="AD141" s="760"/>
    </row>
    <row r="142" spans="1:30" ht="9" customHeight="1">
      <c r="A142" s="759"/>
      <c r="B142" s="759"/>
      <c r="C142" s="757"/>
      <c r="D142" s="757"/>
      <c r="E142" s="757"/>
      <c r="F142" s="757"/>
      <c r="G142" s="757"/>
      <c r="H142" s="804"/>
      <c r="I142" s="804"/>
      <c r="J142" s="804"/>
      <c r="K142" s="804"/>
      <c r="L142" s="804"/>
      <c r="M142" s="757"/>
      <c r="N142" s="803"/>
      <c r="O142" s="757"/>
      <c r="P142" s="757"/>
      <c r="Q142" s="757"/>
      <c r="R142" s="757"/>
      <c r="S142" s="757"/>
      <c r="T142" s="757"/>
      <c r="U142" s="757"/>
      <c r="V142" s="757"/>
      <c r="W142" s="757"/>
      <c r="X142" s="757"/>
      <c r="Y142" s="908"/>
      <c r="Z142" s="760"/>
      <c r="AA142" s="763"/>
      <c r="AB142" s="760"/>
      <c r="AC142" s="760"/>
      <c r="AD142" s="760"/>
    </row>
    <row r="143" spans="1:30" ht="9" customHeight="1">
      <c r="A143" s="759"/>
      <c r="B143" s="759"/>
      <c r="C143" s="757"/>
      <c r="D143" s="757"/>
      <c r="E143" s="757"/>
      <c r="F143" s="757"/>
      <c r="G143" s="757"/>
      <c r="H143" s="804"/>
      <c r="I143" s="804"/>
      <c r="J143" s="804"/>
      <c r="K143" s="804"/>
      <c r="L143" s="804"/>
      <c r="M143" s="757"/>
      <c r="N143" s="803"/>
      <c r="O143" s="757"/>
      <c r="P143" s="757"/>
      <c r="Q143" s="757"/>
      <c r="R143" s="757"/>
      <c r="S143" s="757"/>
      <c r="T143" s="757"/>
      <c r="U143" s="757"/>
      <c r="V143" s="757"/>
      <c r="W143" s="757"/>
      <c r="X143" s="757"/>
      <c r="Y143" s="908"/>
      <c r="Z143" s="760"/>
      <c r="AA143" s="763"/>
      <c r="AB143" s="760"/>
      <c r="AC143" s="760"/>
      <c r="AD143" s="760"/>
    </row>
    <row r="144" spans="1:30" ht="9" customHeight="1">
      <c r="A144" s="759"/>
      <c r="B144" s="759"/>
      <c r="C144" s="757"/>
      <c r="D144" s="757"/>
      <c r="E144" s="757"/>
      <c r="F144" s="757"/>
      <c r="G144" s="757"/>
      <c r="H144" s="804"/>
      <c r="I144" s="804"/>
      <c r="J144" s="804"/>
      <c r="K144" s="804"/>
      <c r="L144" s="804"/>
      <c r="M144" s="757"/>
      <c r="N144" s="803"/>
      <c r="O144" s="757"/>
      <c r="P144" s="757"/>
      <c r="Q144" s="757"/>
      <c r="R144" s="757"/>
      <c r="S144" s="757"/>
      <c r="T144" s="757"/>
      <c r="U144" s="757"/>
      <c r="V144" s="757"/>
      <c r="W144" s="757"/>
      <c r="X144" s="757"/>
      <c r="Y144" s="908"/>
      <c r="Z144" s="760"/>
      <c r="AA144" s="763"/>
      <c r="AB144" s="760"/>
      <c r="AC144" s="760"/>
      <c r="AD144" s="760"/>
    </row>
    <row r="145" spans="1:30" ht="9" customHeight="1">
      <c r="A145" s="759"/>
      <c r="B145" s="759"/>
      <c r="C145" s="757"/>
      <c r="D145" s="757"/>
      <c r="E145" s="757"/>
      <c r="F145" s="757"/>
      <c r="G145" s="757"/>
      <c r="H145" s="804"/>
      <c r="I145" s="804"/>
      <c r="J145" s="804"/>
      <c r="K145" s="804"/>
      <c r="L145" s="804"/>
      <c r="M145" s="757"/>
      <c r="N145" s="803"/>
      <c r="O145" s="757"/>
      <c r="P145" s="757"/>
      <c r="Q145" s="757"/>
      <c r="R145" s="757"/>
      <c r="S145" s="757"/>
      <c r="T145" s="757"/>
      <c r="U145" s="757"/>
      <c r="V145" s="757"/>
      <c r="W145" s="757"/>
      <c r="X145" s="757"/>
      <c r="Y145" s="908"/>
      <c r="Z145" s="760"/>
      <c r="AA145" s="763"/>
      <c r="AB145" s="760"/>
      <c r="AC145" s="760"/>
      <c r="AD145" s="760"/>
    </row>
    <row r="146" spans="1:30" ht="9" customHeight="1">
      <c r="A146" s="759"/>
      <c r="B146" s="759"/>
      <c r="C146" s="757"/>
      <c r="D146" s="757"/>
      <c r="E146" s="757"/>
      <c r="F146" s="757"/>
      <c r="G146" s="757"/>
      <c r="H146" s="804"/>
      <c r="I146" s="804"/>
      <c r="J146" s="804"/>
      <c r="K146" s="804"/>
      <c r="L146" s="804"/>
      <c r="M146" s="757"/>
      <c r="N146" s="803"/>
      <c r="O146" s="757"/>
      <c r="P146" s="757"/>
      <c r="Q146" s="757"/>
      <c r="R146" s="757"/>
      <c r="S146" s="757"/>
      <c r="T146" s="757"/>
      <c r="U146" s="757"/>
      <c r="V146" s="757"/>
      <c r="W146" s="757"/>
      <c r="X146" s="757"/>
      <c r="Y146" s="908"/>
      <c r="Z146" s="760"/>
      <c r="AA146" s="763"/>
      <c r="AB146" s="760"/>
      <c r="AC146" s="760"/>
      <c r="AD146" s="760"/>
    </row>
    <row r="147" spans="1:30" ht="9" customHeight="1">
      <c r="A147" s="759"/>
      <c r="B147" s="759"/>
      <c r="C147" s="759"/>
      <c r="D147" s="759"/>
      <c r="E147" s="759"/>
      <c r="F147" s="759"/>
      <c r="G147" s="759"/>
      <c r="H147" s="759"/>
      <c r="I147" s="759"/>
      <c r="J147" s="759"/>
      <c r="K147" s="759"/>
      <c r="L147" s="759"/>
      <c r="M147" s="759"/>
      <c r="N147" s="759"/>
      <c r="O147" s="759"/>
      <c r="P147" s="759"/>
      <c r="Q147" s="759"/>
      <c r="R147" s="759"/>
      <c r="S147" s="759"/>
      <c r="T147" s="759"/>
      <c r="U147" s="759"/>
      <c r="V147" s="759"/>
      <c r="W147" s="759"/>
      <c r="X147" s="759"/>
      <c r="Y147" s="759"/>
      <c r="Z147" s="759"/>
      <c r="AA147" s="759"/>
      <c r="AB147" s="759"/>
      <c r="AC147" s="759"/>
      <c r="AD147" s="759"/>
    </row>
    <row r="148" spans="1:30" ht="90" customHeight="1">
      <c r="A148" s="759" t="s">
        <v>1664</v>
      </c>
      <c r="B148" s="759"/>
      <c r="C148" s="757" t="s">
        <v>2137</v>
      </c>
      <c r="D148" s="757" t="s">
        <v>1566</v>
      </c>
      <c r="E148" s="757" t="s">
        <v>1666</v>
      </c>
      <c r="F148" s="757" t="s">
        <v>2138</v>
      </c>
      <c r="G148" s="757"/>
      <c r="H148" s="757"/>
      <c r="I148" s="872"/>
      <c r="J148" s="872"/>
      <c r="K148" s="872"/>
      <c r="L148" s="872"/>
      <c r="M148" s="80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62"/>
      <c r="O148" s="757"/>
      <c r="P148" s="758"/>
      <c r="Q148" s="758"/>
      <c r="R148" s="758"/>
      <c r="S148" s="757"/>
      <c r="T148" s="757" t="s">
        <v>2139</v>
      </c>
      <c r="U148" s="75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58"/>
      <c r="W148" s="758"/>
      <c r="X148" s="757" t="s">
        <v>2140</v>
      </c>
      <c r="Y148" s="908"/>
      <c r="Z148" s="760"/>
      <c r="AA148" s="763"/>
      <c r="AB148" s="760"/>
      <c r="AC148" s="760"/>
      <c r="AD148" s="760"/>
    </row>
    <row r="149" spans="1:30" ht="9" customHeight="1">
      <c r="A149" s="759"/>
      <c r="B149" s="759"/>
      <c r="C149" s="759"/>
      <c r="D149" s="759"/>
      <c r="E149" s="759"/>
      <c r="F149" s="759"/>
      <c r="G149" s="759"/>
      <c r="H149" s="759"/>
      <c r="I149" s="759"/>
      <c r="J149" s="759"/>
      <c r="K149" s="759"/>
      <c r="L149" s="759"/>
      <c r="M149" s="759"/>
      <c r="N149" s="759"/>
      <c r="O149" s="759"/>
      <c r="P149" s="759"/>
      <c r="Q149" s="759"/>
      <c r="R149" s="759"/>
      <c r="S149" s="759"/>
      <c r="T149" s="759"/>
      <c r="U149" s="759"/>
      <c r="V149" s="759"/>
      <c r="W149" s="759"/>
      <c r="X149" s="759"/>
      <c r="Y149" s="759"/>
      <c r="Z149" s="759"/>
      <c r="AA149" s="759"/>
      <c r="AB149" s="759"/>
      <c r="AC149" s="759"/>
      <c r="AD149" s="759"/>
    </row>
    <row r="150" spans="1:30" ht="9" customHeight="1">
      <c r="A150" s="759" t="s">
        <v>1668</v>
      </c>
      <c r="B150" s="759"/>
      <c r="C150" s="757"/>
      <c r="D150" s="757"/>
      <c r="E150" s="757"/>
      <c r="F150" s="757"/>
      <c r="G150" s="757"/>
      <c r="H150" s="757"/>
      <c r="I150" s="757"/>
      <c r="J150" s="757"/>
      <c r="K150" s="757"/>
      <c r="L150" s="757"/>
      <c r="M150" s="757"/>
      <c r="N150" s="757"/>
      <c r="O150" s="757"/>
      <c r="P150" s="757"/>
      <c r="Q150" s="757"/>
      <c r="R150" s="757"/>
      <c r="S150" s="757"/>
      <c r="T150" s="757"/>
      <c r="U150" s="757"/>
      <c r="V150" s="757"/>
      <c r="W150" s="757"/>
      <c r="X150" s="757"/>
      <c r="Y150" s="908"/>
      <c r="Z150" s="760"/>
      <c r="AA150" s="763"/>
      <c r="AB150" s="760"/>
      <c r="AC150" s="760"/>
      <c r="AD150" s="760"/>
    </row>
    <row r="151" spans="1:30" ht="9" customHeight="1">
      <c r="A151" s="759"/>
      <c r="B151" s="759"/>
      <c r="C151" s="759"/>
      <c r="D151" s="759"/>
      <c r="E151" s="759"/>
      <c r="F151" s="759"/>
      <c r="G151" s="759"/>
      <c r="H151" s="759"/>
      <c r="I151" s="759"/>
      <c r="J151" s="759"/>
      <c r="K151" s="759"/>
      <c r="L151" s="759"/>
      <c r="M151" s="759"/>
      <c r="N151" s="759"/>
      <c r="O151" s="759"/>
      <c r="P151" s="759"/>
      <c r="Q151" s="759"/>
      <c r="R151" s="759"/>
      <c r="S151" s="759"/>
      <c r="T151" s="759"/>
      <c r="U151" s="759"/>
      <c r="V151" s="759"/>
      <c r="W151" s="759"/>
      <c r="X151" s="759"/>
      <c r="Y151" s="759"/>
      <c r="Z151" s="759"/>
      <c r="AA151" s="759"/>
      <c r="AB151" s="759"/>
      <c r="AC151" s="759"/>
      <c r="AD151" s="759"/>
    </row>
    <row r="152" spans="1:30" ht="9" customHeight="1">
      <c r="A152" s="759" t="s">
        <v>1671</v>
      </c>
      <c r="B152" s="759"/>
      <c r="C152" s="757"/>
      <c r="D152" s="757"/>
      <c r="E152" s="757"/>
      <c r="F152" s="757"/>
      <c r="G152" s="757"/>
      <c r="H152" s="757"/>
      <c r="I152" s="757"/>
      <c r="J152" s="757"/>
      <c r="K152" s="757"/>
      <c r="L152" s="757"/>
      <c r="M152" s="757"/>
      <c r="N152" s="757"/>
      <c r="O152" s="757"/>
      <c r="P152" s="757"/>
      <c r="Q152" s="757"/>
      <c r="R152" s="757"/>
      <c r="S152" s="757"/>
      <c r="T152" s="757"/>
      <c r="U152" s="757"/>
      <c r="V152" s="757"/>
      <c r="W152" s="757"/>
      <c r="X152" s="757"/>
      <c r="Y152" s="908"/>
      <c r="Z152" s="760"/>
      <c r="AA152" s="763"/>
      <c r="AB152" s="760"/>
      <c r="AC152" s="760"/>
      <c r="AD152" s="760"/>
    </row>
    <row r="153" spans="1:30" ht="9" customHeight="1">
      <c r="A153" s="759"/>
      <c r="B153" s="759"/>
      <c r="C153" s="759"/>
      <c r="D153" s="759"/>
      <c r="E153" s="759"/>
      <c r="F153" s="759"/>
      <c r="G153" s="759"/>
      <c r="H153" s="759"/>
      <c r="I153" s="759"/>
      <c r="J153" s="759"/>
      <c r="K153" s="759"/>
      <c r="L153" s="759"/>
      <c r="M153" s="759"/>
      <c r="N153" s="759"/>
      <c r="O153" s="759"/>
      <c r="P153" s="759"/>
      <c r="Q153" s="759"/>
      <c r="R153" s="759"/>
      <c r="S153" s="759"/>
      <c r="T153" s="759"/>
      <c r="U153" s="759"/>
      <c r="V153" s="759"/>
      <c r="W153" s="759"/>
      <c r="X153" s="759"/>
      <c r="Y153" s="759"/>
      <c r="Z153" s="759"/>
      <c r="AA153" s="759"/>
      <c r="AB153" s="759"/>
      <c r="AC153" s="759"/>
      <c r="AD153" s="759"/>
    </row>
    <row r="154" spans="1:30" ht="9" customHeight="1">
      <c r="A154" s="759" t="s">
        <v>1676</v>
      </c>
      <c r="B154" s="759"/>
      <c r="C154" s="757"/>
      <c r="D154" s="757"/>
      <c r="E154" s="757"/>
      <c r="F154" s="757"/>
      <c r="G154" s="757"/>
      <c r="H154" s="757"/>
      <c r="I154" s="757"/>
      <c r="J154" s="757"/>
      <c r="K154" s="757"/>
      <c r="L154" s="757"/>
      <c r="M154" s="757"/>
      <c r="N154" s="757"/>
      <c r="O154" s="757"/>
      <c r="P154" s="757"/>
      <c r="Q154" s="757"/>
      <c r="R154" s="757"/>
      <c r="S154" s="757"/>
      <c r="T154" s="757"/>
      <c r="U154" s="757"/>
      <c r="V154" s="757"/>
      <c r="W154" s="757"/>
      <c r="X154" s="757"/>
      <c r="Y154" s="908"/>
      <c r="Z154" s="760"/>
      <c r="AA154" s="763"/>
      <c r="AB154" s="760"/>
      <c r="AC154" s="760"/>
      <c r="AD154" s="760"/>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B1EBC-420F-4A99-8572-E3394A88D75D}">
  <sheetPr>
    <tabColor theme="6" tint="0.39997558519241921"/>
  </sheetPr>
  <dimension ref="A1:AC40"/>
  <sheetViews>
    <sheetView showGridLines="0" topLeftCell="I4" workbookViewId="0"/>
  </sheetViews>
  <sheetFormatPr defaultColWidth="10.5703125" defaultRowHeight="14.25" customHeight="1"/>
  <cols>
    <col min="1" max="1" width="10.5703125" style="1931" hidden="1"/>
    <col min="2" max="2" width="11" style="1931" hidden="1" customWidth="1"/>
    <col min="3" max="3" width="10.5703125" style="1931" hidden="1"/>
    <col min="4" max="4" width="11.85546875" style="1931" hidden="1" customWidth="1"/>
    <col min="5" max="5" width="12.28515625" style="1931" hidden="1" customWidth="1"/>
    <col min="6" max="8" width="12.28515625" style="1933" hidden="1" customWidth="1"/>
    <col min="9" max="9" width="3.7109375" style="2088" customWidth="1"/>
    <col min="10" max="11" width="3.7109375" style="1939" customWidth="1"/>
    <col min="12" max="12" width="12.7109375" style="1940" customWidth="1"/>
    <col min="13" max="13" width="32" style="1905" customWidth="1"/>
    <col min="14" max="14" width="1.7109375" style="1905" customWidth="1"/>
    <col min="15" max="18" width="24.7109375" style="1905" customWidth="1"/>
    <col min="19" max="19" width="11.7109375" style="1905" customWidth="1"/>
    <col min="20" max="20" width="3.7109375" style="1905" customWidth="1"/>
    <col min="21" max="21" width="11.7109375" style="1905" customWidth="1"/>
    <col min="22" max="22" width="8.5703125" style="1905" customWidth="1"/>
    <col min="23" max="23" width="4.7109375" style="1905" customWidth="1"/>
    <col min="24" max="24" width="115.7109375" style="1905" customWidth="1"/>
    <col min="25" max="26" width="10.5703125" style="1820"/>
    <col min="27" max="27" width="11.140625" style="1820" customWidth="1"/>
    <col min="28" max="29" width="10.5703125" style="1820"/>
  </cols>
  <sheetData>
    <row r="1" spans="1:29" ht="14.25" hidden="1" customHeight="1">
      <c r="R1" s="253"/>
      <c r="S1" s="253"/>
    </row>
    <row r="2" spans="1:29" ht="14.25" hidden="1" customHeight="1">
      <c r="V2" s="253"/>
    </row>
    <row r="3" spans="1:29" ht="14.25" hidden="1" customHeight="1"/>
    <row r="4" spans="1:29" ht="14.25" customHeight="1">
      <c r="J4" s="305"/>
      <c r="K4" s="305"/>
      <c r="L4" s="1195"/>
      <c r="M4" s="290"/>
      <c r="N4" s="290"/>
      <c r="O4" s="435"/>
      <c r="P4" s="435"/>
      <c r="Q4" s="435"/>
      <c r="R4" s="435"/>
      <c r="S4" s="435"/>
      <c r="T4" s="435"/>
      <c r="U4" s="435"/>
      <c r="V4" s="435"/>
    </row>
    <row r="5" spans="1:29" ht="64.5" customHeight="1">
      <c r="J5" s="305"/>
      <c r="K5" s="305"/>
      <c r="L5" s="2521" t="s">
        <v>2141</v>
      </c>
      <c r="M5" s="2521"/>
      <c r="N5" s="2521"/>
      <c r="O5" s="2521"/>
      <c r="P5" s="2521"/>
      <c r="Q5" s="2521"/>
      <c r="R5" s="2521"/>
      <c r="S5" s="2521"/>
      <c r="T5" s="2521"/>
      <c r="U5" s="2521"/>
      <c r="V5" s="1152"/>
    </row>
    <row r="6" spans="1:29" ht="14.25" customHeight="1">
      <c r="J6" s="305"/>
      <c r="K6" s="305"/>
      <c r="L6" s="2522" t="str">
        <f>IF(org=0,"Не определено",org)</f>
        <v>ПАО "Юнипро"</v>
      </c>
      <c r="M6" s="2522"/>
      <c r="N6" s="2522"/>
      <c r="O6" s="2522"/>
      <c r="P6" s="2522"/>
      <c r="Q6" s="2522"/>
      <c r="R6" s="2522"/>
      <c r="S6" s="2522"/>
      <c r="T6" s="2522"/>
      <c r="U6" s="2522"/>
      <c r="V6" s="1152"/>
    </row>
    <row r="7" spans="1:29" ht="14.25" customHeight="1">
      <c r="J7" s="305"/>
      <c r="K7" s="305"/>
      <c r="L7" s="1195"/>
      <c r="M7" s="290"/>
      <c r="N7" s="290"/>
      <c r="O7" s="246"/>
      <c r="P7" s="246"/>
      <c r="Q7" s="246"/>
      <c r="R7" s="246"/>
      <c r="S7" s="246"/>
      <c r="T7" s="246"/>
      <c r="U7" s="246"/>
      <c r="V7" s="246"/>
      <c r="W7" s="435"/>
    </row>
    <row r="8" spans="1:29" s="1936" customFormat="1" ht="45" customHeight="1">
      <c r="A8" s="1284"/>
      <c r="B8" s="1284"/>
      <c r="C8" s="1284"/>
      <c r="D8" s="1284"/>
      <c r="E8" s="1284"/>
      <c r="F8" s="1284"/>
      <c r="G8" s="1284"/>
      <c r="H8" s="1284"/>
      <c r="L8" s="1196"/>
      <c r="M8" s="213" t="s">
        <v>38</v>
      </c>
      <c r="N8" s="222"/>
      <c r="O8" s="2263" t="str">
        <f>IF(TITLE_NAME_OR_PR_CHANGE="",IF(TITLE_NAME_OR_PR="","",TITLE_NAME_OR_PR),TITLE_NAME_OR_PR_CHANGE)</f>
        <v>Министерство тарифной политики Красноярского края</v>
      </c>
      <c r="P8" s="2263"/>
      <c r="Q8" s="2263"/>
      <c r="R8" s="2263"/>
      <c r="S8" s="2263"/>
      <c r="T8" s="2263"/>
      <c r="U8" s="2263"/>
      <c r="V8" s="252"/>
      <c r="W8" s="252"/>
      <c r="X8" s="199"/>
      <c r="Y8" s="296"/>
      <c r="Z8" s="296"/>
      <c r="AA8" s="296"/>
      <c r="AB8" s="296"/>
      <c r="AC8" s="296"/>
    </row>
    <row r="9" spans="1:29" s="1936" customFormat="1" ht="22.5" customHeight="1">
      <c r="A9" s="1284"/>
      <c r="B9" s="1284"/>
      <c r="C9" s="1284"/>
      <c r="D9" s="1284"/>
      <c r="E9" s="1284"/>
      <c r="F9" s="1284"/>
      <c r="G9" s="1284"/>
      <c r="H9" s="1284"/>
      <c r="L9" s="1196"/>
      <c r="M9" s="213" t="s">
        <v>412</v>
      </c>
      <c r="N9" s="222"/>
      <c r="O9" s="2263">
        <f>IF(TITLE_DATE_CHANGE_PERIOD="",IF(TITLE_DATE_PR="","",TITLE_DATE_PR),TITLE_DATE_CHANGE_PERIOD)</f>
        <v>45292</v>
      </c>
      <c r="P9" s="2263"/>
      <c r="Q9" s="2263"/>
      <c r="R9" s="2263"/>
      <c r="S9" s="2263"/>
      <c r="T9" s="2263"/>
      <c r="U9" s="2263"/>
      <c r="V9" s="252"/>
      <c r="W9" s="252"/>
      <c r="X9" s="199"/>
      <c r="Y9" s="296"/>
      <c r="Z9" s="296"/>
      <c r="AA9" s="296"/>
      <c r="AB9" s="296"/>
      <c r="AC9" s="296"/>
    </row>
    <row r="10" spans="1:29" s="1936" customFormat="1" ht="22.5" customHeight="1">
      <c r="A10" s="1284"/>
      <c r="B10" s="1284"/>
      <c r="C10" s="1284"/>
      <c r="D10" s="1284"/>
      <c r="E10" s="1284"/>
      <c r="F10" s="1284"/>
      <c r="G10" s="1284"/>
      <c r="H10" s="1284"/>
      <c r="L10" s="1160"/>
      <c r="M10" s="213" t="s">
        <v>413</v>
      </c>
      <c r="N10" s="222"/>
      <c r="O10" s="2263" t="str">
        <f>IF(TITLE_NUMBER_PR_CHANGE="",IF(TITLE_NUMBER_PR="","",TITLE_NUMBER_PR),TITLE_NUMBER_PR_CHANGE)</f>
        <v>924-в</v>
      </c>
      <c r="P10" s="2263"/>
      <c r="Q10" s="2263"/>
      <c r="R10" s="2263"/>
      <c r="S10" s="2263"/>
      <c r="T10" s="2263"/>
      <c r="U10" s="2263"/>
      <c r="V10" s="252"/>
      <c r="W10" s="252"/>
      <c r="X10" s="199"/>
      <c r="Y10" s="296"/>
      <c r="Z10" s="296"/>
      <c r="AA10" s="296"/>
      <c r="AB10" s="296"/>
      <c r="AC10" s="296"/>
    </row>
    <row r="11" spans="1:29" s="1936" customFormat="1" ht="22.5" customHeight="1">
      <c r="A11" s="1284"/>
      <c r="B11" s="1284"/>
      <c r="C11" s="1284"/>
      <c r="D11" s="1284"/>
      <c r="E11" s="1284"/>
      <c r="F11" s="1284"/>
      <c r="G11" s="1284"/>
      <c r="H11" s="1284"/>
      <c r="L11" s="1160"/>
      <c r="M11" s="213" t="s">
        <v>40</v>
      </c>
      <c r="N11" s="222"/>
      <c r="O11" s="2263" t="str">
        <f>IF(TITLE_IST_PUB_CHANGE="",IF(TITLE_IST_PUB="","",TITLE_IST_PUB),TITLE_IST_PUB_CHANGE)</f>
        <v>Официальный интернет-портал правовой информации Красноярского края (http://www.zakon.krskstate.ru/)</v>
      </c>
      <c r="P11" s="2263"/>
      <c r="Q11" s="2263"/>
      <c r="R11" s="2263"/>
      <c r="S11" s="2263"/>
      <c r="T11" s="2263"/>
      <c r="U11" s="2263"/>
      <c r="V11" s="252"/>
      <c r="W11" s="252"/>
      <c r="X11" s="199"/>
      <c r="Y11" s="296"/>
      <c r="Z11" s="296"/>
      <c r="AA11" s="296"/>
      <c r="AB11" s="296"/>
      <c r="AC11" s="296"/>
    </row>
    <row r="12" spans="1:29" s="1936" customFormat="1" ht="11.25" hidden="1" customHeight="1">
      <c r="A12" s="1284"/>
      <c r="B12" s="1284"/>
      <c r="C12" s="1284"/>
      <c r="D12" s="1284"/>
      <c r="E12" s="1284"/>
      <c r="F12" s="1284"/>
      <c r="G12" s="1284"/>
      <c r="H12" s="1284"/>
      <c r="L12" s="2523"/>
      <c r="M12" s="2523"/>
      <c r="N12" s="1206"/>
      <c r="O12" s="252"/>
      <c r="P12" s="252"/>
      <c r="Q12" s="252"/>
      <c r="R12" s="252"/>
      <c r="S12" s="252"/>
      <c r="T12" s="252"/>
      <c r="U12" s="252"/>
      <c r="V12" s="197" t="s">
        <v>416</v>
      </c>
      <c r="Y12" s="296"/>
      <c r="Z12" s="296"/>
      <c r="AA12" s="296"/>
      <c r="AB12" s="296"/>
      <c r="AC12" s="296"/>
    </row>
    <row r="13" spans="1:29" ht="14.25" customHeight="1">
      <c r="J13" s="305"/>
      <c r="K13" s="305"/>
      <c r="L13" s="1195"/>
      <c r="M13" s="290"/>
      <c r="N13" s="1153"/>
      <c r="O13" s="2264"/>
      <c r="P13" s="2264"/>
      <c r="Q13" s="2264"/>
      <c r="R13" s="2264"/>
      <c r="S13" s="2264"/>
      <c r="T13" s="2264"/>
      <c r="U13" s="2264"/>
      <c r="V13" s="2264"/>
    </row>
    <row r="14" spans="1:29" ht="14.25" customHeight="1">
      <c r="J14" s="305"/>
      <c r="K14" s="305"/>
      <c r="L14" s="2143" t="s">
        <v>289</v>
      </c>
      <c r="M14" s="2143"/>
      <c r="N14" s="2143"/>
      <c r="O14" s="2143"/>
      <c r="P14" s="2143"/>
      <c r="Q14" s="2143"/>
      <c r="R14" s="2143"/>
      <c r="S14" s="2143"/>
      <c r="T14" s="2143"/>
      <c r="U14" s="2143"/>
      <c r="V14" s="2143"/>
      <c r="W14" s="2143"/>
      <c r="X14" s="2143" t="s">
        <v>290</v>
      </c>
    </row>
    <row r="15" spans="1:29" ht="14.25" customHeight="1">
      <c r="J15" s="305"/>
      <c r="K15" s="305"/>
      <c r="L15" s="2278" t="s">
        <v>87</v>
      </c>
      <c r="M15" s="2229" t="s">
        <v>417</v>
      </c>
      <c r="N15" s="219"/>
      <c r="O15" s="2279" t="s">
        <v>2142</v>
      </c>
      <c r="P15" s="2280"/>
      <c r="Q15" s="2280"/>
      <c r="R15" s="2280"/>
      <c r="S15" s="2280"/>
      <c r="T15" s="2280"/>
      <c r="U15" s="2281"/>
      <c r="V15" s="2282" t="s">
        <v>419</v>
      </c>
      <c r="W15" s="2285" t="s">
        <v>1057</v>
      </c>
      <c r="X15" s="2143"/>
    </row>
    <row r="16" spans="1:29" ht="33.75" customHeight="1">
      <c r="J16" s="305"/>
      <c r="K16" s="305"/>
      <c r="L16" s="2278"/>
      <c r="M16" s="2229"/>
      <c r="N16" s="938"/>
      <c r="O16" s="2199" t="s">
        <v>422</v>
      </c>
      <c r="P16" s="2199" t="s">
        <v>423</v>
      </c>
      <c r="Q16" s="2115" t="s">
        <v>424</v>
      </c>
      <c r="R16" s="2114"/>
      <c r="S16" s="2115" t="s">
        <v>437</v>
      </c>
      <c r="T16" s="2120"/>
      <c r="U16" s="2114"/>
      <c r="V16" s="2283"/>
      <c r="W16" s="2286"/>
      <c r="X16" s="2143"/>
    </row>
    <row r="17" spans="1:29" ht="33.75" customHeight="1">
      <c r="A17" s="1286" t="s">
        <v>133</v>
      </c>
      <c r="B17" s="1286" t="s">
        <v>134</v>
      </c>
      <c r="C17" s="1286" t="s">
        <v>135</v>
      </c>
      <c r="D17" s="1286" t="s">
        <v>136</v>
      </c>
      <c r="E17" s="1286"/>
      <c r="J17" s="305"/>
      <c r="K17" s="305"/>
      <c r="L17" s="2278"/>
      <c r="M17" s="2229"/>
      <c r="N17" s="220"/>
      <c r="O17" s="2249"/>
      <c r="P17" s="2249"/>
      <c r="Q17" s="1128" t="s">
        <v>433</v>
      </c>
      <c r="R17" s="1128" t="s">
        <v>434</v>
      </c>
      <c r="S17" s="1211" t="s">
        <v>435</v>
      </c>
      <c r="T17" s="2238" t="s">
        <v>436</v>
      </c>
      <c r="U17" s="2240"/>
      <c r="V17" s="2284"/>
      <c r="W17" s="2287"/>
      <c r="X17" s="2143"/>
    </row>
    <row r="18" spans="1:29" s="1819" customFormat="1" ht="11.25" customHeight="1">
      <c r="A18" s="1286"/>
      <c r="B18" s="1286"/>
      <c r="C18" s="1286"/>
      <c r="D18" s="1286"/>
      <c r="E18" s="1286"/>
      <c r="F18" s="1278"/>
      <c r="G18" s="1278"/>
      <c r="H18" s="1278"/>
      <c r="I18" s="1155"/>
      <c r="J18" s="1156"/>
      <c r="K18" s="1171">
        <v>1</v>
      </c>
      <c r="L18" s="1197" t="s">
        <v>108</v>
      </c>
      <c r="M18" s="1172" t="s">
        <v>109</v>
      </c>
      <c r="N18" s="1154" t="str">
        <f ca="1">OFFSET(N18,0,-1)</f>
        <v>2</v>
      </c>
      <c r="O18" s="1208">
        <f ca="1">OFFSET(O18,0,-1)+1</f>
        <v>3</v>
      </c>
      <c r="P18" s="1208"/>
      <c r="Q18" s="1208">
        <f ca="1">OFFSET(Q18,0,-1)+1</f>
        <v>1</v>
      </c>
      <c r="R18" s="1208">
        <f ca="1">OFFSET(R18,0,-1)+1</f>
        <v>2</v>
      </c>
      <c r="S18" s="1208">
        <f ca="1">OFFSET(S18,0,-1)+1</f>
        <v>3</v>
      </c>
      <c r="T18" s="2277">
        <f ca="1">OFFSET(T18,0,-1)+1</f>
        <v>4</v>
      </c>
      <c r="U18" s="2277"/>
      <c r="V18" s="1208">
        <f ca="1">OFFSET(V18,0,-2)+1</f>
        <v>5</v>
      </c>
      <c r="W18" s="1154">
        <f ca="1">OFFSET(W18,0,-1)</f>
        <v>5</v>
      </c>
      <c r="X18" s="1208">
        <f ca="1">OFFSET(X18,0,-1)+1</f>
        <v>6</v>
      </c>
      <c r="Y18" s="437"/>
      <c r="Z18" s="437"/>
      <c r="AA18" s="437"/>
      <c r="AB18" s="437"/>
      <c r="AC18" s="437"/>
    </row>
    <row r="19" spans="1:29" ht="21" customHeight="1">
      <c r="A19" s="1279" t="s">
        <v>167</v>
      </c>
      <c r="B19" s="1279" t="s">
        <v>168</v>
      </c>
      <c r="C19" s="1279" t="s">
        <v>169</v>
      </c>
      <c r="D19" s="1279" t="s">
        <v>170</v>
      </c>
      <c r="E19" s="1279"/>
      <c r="F19" s="1281"/>
      <c r="G19" s="1281"/>
      <c r="H19" s="1281"/>
      <c r="I19" s="286"/>
      <c r="J19" s="285"/>
      <c r="K19" s="280"/>
      <c r="L19" s="1212">
        <f>INDEX(PT_DIFFERENTIATION_NUM_NTAR,MATCH(A19,PT_DIFFERENTIATION_NTAR_ID,0))</f>
        <v>0</v>
      </c>
      <c r="M19" s="216" t="s">
        <v>122</v>
      </c>
      <c r="N19" s="218"/>
      <c r="O19" s="2524" t="str">
        <f>INDEX(PT_DIFFERENTIATION_NTAR,MATCH(A19,PT_DIFFERENTIATION_NTAR_ID,0))</f>
        <v/>
      </c>
      <c r="P19" s="2524"/>
      <c r="Q19" s="2524"/>
      <c r="R19" s="2524"/>
      <c r="S19" s="2524"/>
      <c r="T19" s="2524"/>
      <c r="U19" s="2524"/>
      <c r="V19" s="2524"/>
      <c r="W19" s="2524"/>
      <c r="X19" s="1177" t="s">
        <v>387</v>
      </c>
      <c r="Z19" s="426"/>
      <c r="AA19" s="426" t="str">
        <f t="shared" ref="AA19:AA32" si="0">IF(M19="","",M19)</f>
        <v>Наименование тарифа</v>
      </c>
      <c r="AB19" s="426"/>
      <c r="AC19" s="426"/>
    </row>
    <row r="20" spans="1:29" ht="21" customHeight="1">
      <c r="A20" s="1279" t="s">
        <v>167</v>
      </c>
      <c r="B20" s="1279" t="s">
        <v>168</v>
      </c>
      <c r="C20" s="1279" t="s">
        <v>169</v>
      </c>
      <c r="D20" s="1279" t="s">
        <v>170</v>
      </c>
      <c r="E20" s="1279"/>
      <c r="F20" s="1281"/>
      <c r="G20" s="1281"/>
      <c r="H20" s="1281"/>
      <c r="I20" s="1209"/>
      <c r="J20" s="277"/>
      <c r="K20" s="278"/>
      <c r="L20" s="1212" t="str">
        <f>INDEX(PT_DIFFERENTIATION_NUM_TER,MATCH(B19,PT_DIFFERENTIATION_TER_ID,0))</f>
        <v>.</v>
      </c>
      <c r="M20" s="228" t="s">
        <v>388</v>
      </c>
      <c r="N20" s="218"/>
      <c r="O20" s="2524" t="str">
        <f>INDEX(PT_DIFFERENTIATION_TER,MATCH(B19,PT_DIFFERENTIATION_TER_ID,0))</f>
        <v/>
      </c>
      <c r="P20" s="2524"/>
      <c r="Q20" s="2524"/>
      <c r="R20" s="2524"/>
      <c r="S20" s="2524"/>
      <c r="T20" s="2524"/>
      <c r="U20" s="2524"/>
      <c r="V20" s="2524"/>
      <c r="W20" s="2524"/>
      <c r="X20" s="1177" t="s">
        <v>389</v>
      </c>
      <c r="Z20" s="426"/>
      <c r="AA20" s="426" t="str">
        <f t="shared" si="0"/>
        <v>Территория действия тарифа</v>
      </c>
      <c r="AB20" s="426"/>
      <c r="AC20" s="426"/>
    </row>
    <row r="21" spans="1:29" ht="22.5" customHeight="1">
      <c r="A21" s="1279" t="s">
        <v>167</v>
      </c>
      <c r="B21" s="1279" t="s">
        <v>168</v>
      </c>
      <c r="C21" s="1279" t="s">
        <v>169</v>
      </c>
      <c r="D21" s="1279" t="s">
        <v>170</v>
      </c>
      <c r="E21" s="1279"/>
      <c r="F21" s="1281"/>
      <c r="G21" s="1281"/>
      <c r="H21" s="1281"/>
      <c r="I21" s="279"/>
      <c r="J21" s="277"/>
      <c r="K21" s="278"/>
      <c r="L21" s="1212" t="str">
        <f>INDEX(PT_DIFFERENTIATION_NUM_CS,MATCH(C19,PT_DIFFERENTIATION_CS_ID,0))</f>
        <v>..</v>
      </c>
      <c r="M21" s="229" t="s">
        <v>390</v>
      </c>
      <c r="N21" s="218"/>
      <c r="O21" s="2524" t="str">
        <f>INDEX(PT_DIFFERENTIATION_CS,MATCH(C19,PT_DIFFERENTIATION_CS_ID,0))</f>
        <v/>
      </c>
      <c r="P21" s="2524"/>
      <c r="Q21" s="2524"/>
      <c r="R21" s="2524"/>
      <c r="S21" s="2524"/>
      <c r="T21" s="2524"/>
      <c r="U21" s="2524"/>
      <c r="V21" s="2524"/>
      <c r="W21" s="2524"/>
      <c r="X21" s="1177" t="s">
        <v>391</v>
      </c>
      <c r="Z21" s="426"/>
      <c r="AA21" s="426" t="str">
        <f t="shared" si="0"/>
        <v xml:space="preserve">Наименование системы теплоснабжения </v>
      </c>
      <c r="AB21" s="426"/>
      <c r="AC21" s="426"/>
    </row>
    <row r="22" spans="1:29" ht="21" customHeight="1">
      <c r="A22" s="1279" t="s">
        <v>167</v>
      </c>
      <c r="B22" s="1279" t="s">
        <v>168</v>
      </c>
      <c r="C22" s="1279" t="s">
        <v>169</v>
      </c>
      <c r="D22" s="1279" t="s">
        <v>170</v>
      </c>
      <c r="E22" s="1279"/>
      <c r="F22" s="1281"/>
      <c r="G22" s="1281"/>
      <c r="H22" s="1281"/>
      <c r="I22" s="279"/>
      <c r="J22" s="277"/>
      <c r="K22" s="278"/>
      <c r="L22" s="1212" t="str">
        <f>INDEX(PT_DIFFERENTIATION_NUM_IST_TE,MATCH(D19,PT_DIFFERENTIATION_IST_TE_ID,0))</f>
        <v>...</v>
      </c>
      <c r="M22" s="230" t="s">
        <v>392</v>
      </c>
      <c r="N22" s="218"/>
      <c r="O22" s="2524" t="str">
        <f>INDEX(PT_DIFFERENTIATION_IST_TE,MATCH(D19,PT_DIFFERENTIATION_IST_TE_ID,0))</f>
        <v/>
      </c>
      <c r="P22" s="2524"/>
      <c r="Q22" s="2524"/>
      <c r="R22" s="2524"/>
      <c r="S22" s="2524"/>
      <c r="T22" s="2524"/>
      <c r="U22" s="2524"/>
      <c r="V22" s="2524"/>
      <c r="W22" s="2524"/>
      <c r="X22" s="1177" t="s">
        <v>393</v>
      </c>
      <c r="Z22" s="426"/>
      <c r="AA22" s="426" t="str">
        <f t="shared" si="0"/>
        <v xml:space="preserve">Источник тепловой энергии  </v>
      </c>
      <c r="AB22" s="426"/>
      <c r="AC22" s="426"/>
    </row>
    <row r="23" spans="1:29" ht="94.5" customHeight="1">
      <c r="A23" s="1279" t="s">
        <v>167</v>
      </c>
      <c r="B23" s="1279" t="s">
        <v>168</v>
      </c>
      <c r="C23" s="1279" t="s">
        <v>169</v>
      </c>
      <c r="D23" s="1279" t="s">
        <v>170</v>
      </c>
      <c r="E23" s="1279"/>
      <c r="F23" s="2237" t="str">
        <f>L22&amp;".1"</f>
        <v>....1</v>
      </c>
      <c r="I23" s="2269">
        <v>1</v>
      </c>
      <c r="J23" s="1210"/>
      <c r="K23" s="281"/>
      <c r="L23" s="1212" t="str">
        <f>$F$23</f>
        <v>....1</v>
      </c>
      <c r="M23" s="203" t="s">
        <v>395</v>
      </c>
      <c r="N23" s="218"/>
      <c r="O23" s="2525"/>
      <c r="P23" s="2525"/>
      <c r="Q23" s="2525"/>
      <c r="R23" s="2525"/>
      <c r="S23" s="2525"/>
      <c r="T23" s="2525"/>
      <c r="U23" s="2525"/>
      <c r="V23" s="2525"/>
      <c r="W23" s="2525"/>
      <c r="X23" s="1177" t="s">
        <v>396</v>
      </c>
      <c r="Z23" s="426"/>
      <c r="AA23" s="426" t="str">
        <f t="shared" si="0"/>
        <v>Схема подключения теплопотребляющей установки к коллектору источника тепловой энергии</v>
      </c>
      <c r="AB23" s="426"/>
      <c r="AC23" s="426"/>
    </row>
    <row r="24" spans="1:29" ht="84" customHeight="1">
      <c r="A24" s="1279" t="s">
        <v>167</v>
      </c>
      <c r="B24" s="1279" t="s">
        <v>168</v>
      </c>
      <c r="C24" s="1279" t="s">
        <v>169</v>
      </c>
      <c r="D24" s="1279" t="s">
        <v>170</v>
      </c>
      <c r="E24" s="1279"/>
      <c r="F24" s="2237"/>
      <c r="G24" s="2237" t="str">
        <f>F23&amp;".1"</f>
        <v>....1.1</v>
      </c>
      <c r="I24" s="2269"/>
      <c r="J24" s="2269">
        <v>1</v>
      </c>
      <c r="K24" s="282"/>
      <c r="L24" s="1212" t="str">
        <f>$G$24</f>
        <v>....1.1</v>
      </c>
      <c r="M24" s="204" t="s">
        <v>398</v>
      </c>
      <c r="N24" s="218"/>
      <c r="O24" s="2526"/>
      <c r="P24" s="2527"/>
      <c r="Q24" s="2527"/>
      <c r="R24" s="2527"/>
      <c r="S24" s="2527"/>
      <c r="T24" s="2527"/>
      <c r="U24" s="2527"/>
      <c r="V24" s="2527"/>
      <c r="W24" s="2528"/>
      <c r="X24" s="1177" t="s">
        <v>399</v>
      </c>
      <c r="Z24" s="426"/>
      <c r="AA24" s="426" t="str">
        <f t="shared" si="0"/>
        <v>Группа потребителей</v>
      </c>
      <c r="AB24" s="426"/>
      <c r="AC24" s="426"/>
    </row>
    <row r="25" spans="1:29" ht="11.25" customHeight="1">
      <c r="A25" s="1279" t="s">
        <v>167</v>
      </c>
      <c r="B25" s="1279" t="s">
        <v>168</v>
      </c>
      <c r="C25" s="1279" t="s">
        <v>169</v>
      </c>
      <c r="D25" s="1279" t="s">
        <v>170</v>
      </c>
      <c r="E25" s="1279"/>
      <c r="F25" s="2237"/>
      <c r="G25" s="2237"/>
      <c r="H25" s="2237" t="str">
        <f>G24&amp;".1"</f>
        <v>....1.1.1</v>
      </c>
      <c r="I25" s="2269"/>
      <c r="J25" s="2269"/>
      <c r="K25" s="282">
        <v>1</v>
      </c>
      <c r="L25" s="1212" t="str">
        <f>$H$25</f>
        <v>....1.1.1</v>
      </c>
      <c r="M25" s="1178"/>
      <c r="N25" s="218"/>
      <c r="O25" s="668"/>
      <c r="P25" s="250"/>
      <c r="Q25" s="668"/>
      <c r="R25" s="1176"/>
      <c r="S25" s="2273"/>
      <c r="T25" s="2124" t="s">
        <v>61</v>
      </c>
      <c r="U25" s="2273"/>
      <c r="V25" s="2124" t="s">
        <v>56</v>
      </c>
      <c r="W25" s="250"/>
      <c r="X25" s="2265" t="s">
        <v>401</v>
      </c>
      <c r="Y25" s="437" t="e">
        <f ca="1">STRCHECKDATE(O26:W26)</f>
        <v>#NAME?</v>
      </c>
      <c r="Z25" s="426"/>
      <c r="AA25" s="426" t="str">
        <f t="shared" si="0"/>
        <v/>
      </c>
      <c r="AB25" s="426"/>
      <c r="AC25" s="426"/>
    </row>
    <row r="26" spans="1:29" ht="11.25" customHeight="1">
      <c r="A26" s="1279" t="s">
        <v>167</v>
      </c>
      <c r="B26" s="1279" t="s">
        <v>168</v>
      </c>
      <c r="C26" s="1279" t="s">
        <v>169</v>
      </c>
      <c r="D26" s="1279" t="s">
        <v>170</v>
      </c>
      <c r="E26" s="1279"/>
      <c r="F26" s="2237"/>
      <c r="G26" s="2237"/>
      <c r="H26" s="2237"/>
      <c r="I26" s="2269"/>
      <c r="J26" s="2269"/>
      <c r="K26" s="282"/>
      <c r="L26" s="1213"/>
      <c r="M26" s="218"/>
      <c r="N26" s="218"/>
      <c r="O26" s="250"/>
      <c r="P26" s="250"/>
      <c r="Q26" s="250"/>
      <c r="R26" s="254" t="str">
        <f>S25&amp;"-"&amp;U25</f>
        <v>-</v>
      </c>
      <c r="S26" s="2274"/>
      <c r="T26" s="2124"/>
      <c r="U26" s="2274"/>
      <c r="V26" s="2124"/>
      <c r="W26" s="250"/>
      <c r="X26" s="2266"/>
      <c r="Z26" s="426"/>
      <c r="AA26" s="426" t="str">
        <f t="shared" si="0"/>
        <v/>
      </c>
      <c r="AB26" s="426"/>
      <c r="AC26" s="426"/>
    </row>
    <row r="27" spans="1:29" ht="15" customHeight="1">
      <c r="A27" s="1279" t="s">
        <v>167</v>
      </c>
      <c r="B27" s="1279" t="s">
        <v>168</v>
      </c>
      <c r="C27" s="1279" t="s">
        <v>169</v>
      </c>
      <c r="D27" s="1279" t="s">
        <v>170</v>
      </c>
      <c r="E27" s="1279"/>
      <c r="F27" s="2237"/>
      <c r="G27" s="2237"/>
      <c r="I27" s="2269"/>
      <c r="J27" s="2269"/>
      <c r="K27" s="281"/>
      <c r="L27" s="1198"/>
      <c r="M27" s="206" t="s">
        <v>402</v>
      </c>
      <c r="N27" s="295"/>
      <c r="O27" s="295"/>
      <c r="P27" s="295"/>
      <c r="Q27" s="295"/>
      <c r="R27" s="295"/>
      <c r="S27" s="295"/>
      <c r="T27" s="295"/>
      <c r="U27" s="295"/>
      <c r="V27" s="295"/>
      <c r="W27" s="249"/>
      <c r="X27" s="2267"/>
      <c r="Z27" s="426"/>
      <c r="AA27" s="426" t="str">
        <f t="shared" si="0"/>
        <v>Добавить вид теплоносителя (параметры теплоносителя)</v>
      </c>
      <c r="AB27" s="426"/>
      <c r="AC27" s="426"/>
    </row>
    <row r="28" spans="1:29" ht="15" customHeight="1">
      <c r="A28" s="1279" t="s">
        <v>167</v>
      </c>
      <c r="B28" s="1279" t="s">
        <v>168</v>
      </c>
      <c r="C28" s="1279" t="s">
        <v>169</v>
      </c>
      <c r="D28" s="1279" t="s">
        <v>170</v>
      </c>
      <c r="E28" s="1279"/>
      <c r="F28" s="2237"/>
      <c r="I28" s="2269"/>
      <c r="J28" s="1210"/>
      <c r="K28" s="281"/>
      <c r="L28" s="1198"/>
      <c r="M28" s="205" t="s">
        <v>403</v>
      </c>
      <c r="N28" s="295"/>
      <c r="O28" s="295"/>
      <c r="P28" s="295"/>
      <c r="Q28" s="295"/>
      <c r="R28" s="295"/>
      <c r="S28" s="295"/>
      <c r="T28" s="295"/>
      <c r="U28" s="295"/>
      <c r="V28" s="294"/>
      <c r="W28" s="295"/>
      <c r="X28" s="221"/>
      <c r="Z28" s="426"/>
      <c r="AA28" s="426" t="str">
        <f t="shared" si="0"/>
        <v>Добавить группу потребителей</v>
      </c>
      <c r="AB28" s="426"/>
      <c r="AC28" s="426"/>
    </row>
    <row r="29" spans="1:29" ht="14.25" customHeight="1">
      <c r="A29" s="1279" t="s">
        <v>167</v>
      </c>
      <c r="B29" s="1279" t="s">
        <v>168</v>
      </c>
      <c r="C29" s="1279" t="s">
        <v>169</v>
      </c>
      <c r="D29" s="1279" t="s">
        <v>170</v>
      </c>
      <c r="E29" s="1279"/>
      <c r="F29" s="1281"/>
      <c r="G29" s="1281"/>
      <c r="H29" s="462"/>
      <c r="I29" s="285"/>
      <c r="J29" s="304"/>
      <c r="K29" s="280"/>
      <c r="L29" s="1198"/>
      <c r="M29" s="292" t="s">
        <v>404</v>
      </c>
      <c r="N29" s="295"/>
      <c r="O29" s="295"/>
      <c r="P29" s="295"/>
      <c r="Q29" s="295"/>
      <c r="R29" s="295"/>
      <c r="S29" s="295"/>
      <c r="T29" s="295"/>
      <c r="U29" s="295"/>
      <c r="V29" s="294"/>
      <c r="W29" s="295"/>
      <c r="X29" s="221"/>
      <c r="Z29" s="426"/>
      <c r="AA29" s="426" t="str">
        <f t="shared" si="0"/>
        <v>Добавить схему подключения</v>
      </c>
      <c r="AB29" s="426"/>
      <c r="AC29" s="426"/>
    </row>
    <row r="30" spans="1:29" ht="14.25" customHeight="1">
      <c r="A30" s="1279" t="s">
        <v>167</v>
      </c>
      <c r="B30" s="1279" t="s">
        <v>168</v>
      </c>
      <c r="C30" s="1279" t="s">
        <v>169</v>
      </c>
      <c r="D30" s="1279"/>
      <c r="E30" s="1279" t="s">
        <v>570</v>
      </c>
      <c r="F30" s="1281"/>
      <c r="G30" s="1281"/>
      <c r="H30" s="462"/>
      <c r="I30" s="285"/>
      <c r="J30" s="304"/>
      <c r="K30" s="280"/>
      <c r="L30" s="1199"/>
      <c r="M30" s="1188"/>
      <c r="N30" s="1189"/>
      <c r="O30" s="1189"/>
      <c r="P30" s="1189"/>
      <c r="Q30" s="1189"/>
      <c r="R30" s="1189"/>
      <c r="S30" s="1189"/>
      <c r="T30" s="1189"/>
      <c r="U30" s="1189"/>
      <c r="V30" s="1190"/>
      <c r="W30" s="1189"/>
      <c r="X30" s="1191"/>
      <c r="Z30" s="426"/>
      <c r="AA30" s="426" t="str">
        <f t="shared" si="0"/>
        <v/>
      </c>
      <c r="AB30" s="426"/>
      <c r="AC30" s="426"/>
    </row>
    <row r="31" spans="1:29" ht="14.25" customHeight="1">
      <c r="A31" s="1279" t="s">
        <v>167</v>
      </c>
      <c r="B31" s="1279" t="s">
        <v>168</v>
      </c>
      <c r="C31" s="1279"/>
      <c r="D31" s="1279"/>
      <c r="E31" s="1279" t="s">
        <v>2143</v>
      </c>
      <c r="F31" s="1427"/>
      <c r="G31" s="1427"/>
      <c r="H31" s="462"/>
      <c r="I31" s="283"/>
      <c r="J31" s="304"/>
      <c r="K31" s="284"/>
      <c r="L31" s="1199"/>
      <c r="M31" s="1192"/>
      <c r="N31" s="1189"/>
      <c r="O31" s="1189"/>
      <c r="P31" s="1189"/>
      <c r="Q31" s="1189"/>
      <c r="R31" s="1189"/>
      <c r="S31" s="1189"/>
      <c r="T31" s="1189"/>
      <c r="U31" s="1189"/>
      <c r="V31" s="1190"/>
      <c r="W31" s="1189"/>
      <c r="X31" s="1191"/>
      <c r="Z31" s="426"/>
      <c r="AA31" s="426" t="str">
        <f t="shared" si="0"/>
        <v/>
      </c>
      <c r="AB31" s="426"/>
      <c r="AC31" s="426"/>
    </row>
    <row r="32" spans="1:29" ht="14.25" customHeight="1">
      <c r="A32" s="1279" t="s">
        <v>2144</v>
      </c>
      <c r="B32" s="1279"/>
      <c r="C32" s="1279"/>
      <c r="D32" s="1279"/>
      <c r="E32" s="1279" t="s">
        <v>103</v>
      </c>
      <c r="F32" s="1427"/>
      <c r="G32" s="1427"/>
      <c r="H32" s="462"/>
      <c r="I32" s="285"/>
      <c r="J32" s="304"/>
      <c r="K32" s="280"/>
      <c r="L32" s="1199"/>
      <c r="M32" s="1193"/>
      <c r="N32" s="1189"/>
      <c r="O32" s="1189"/>
      <c r="P32" s="1189"/>
      <c r="Q32" s="1189"/>
      <c r="R32" s="1189"/>
      <c r="S32" s="1189"/>
      <c r="T32" s="1189"/>
      <c r="U32" s="1189"/>
      <c r="V32" s="1190"/>
      <c r="W32" s="1189"/>
      <c r="X32" s="1191"/>
      <c r="Z32" s="426"/>
      <c r="AA32" s="426" t="str">
        <f t="shared" si="0"/>
        <v/>
      </c>
      <c r="AB32" s="426"/>
      <c r="AC32" s="426"/>
    </row>
    <row r="33" spans="1:29" s="2067" customFormat="1" ht="11.25" customHeight="1">
      <c r="A33" s="1279"/>
      <c r="B33" s="1279"/>
      <c r="C33" s="1279"/>
      <c r="D33" s="1279"/>
      <c r="E33" s="1279" t="s">
        <v>217</v>
      </c>
      <c r="F33" s="1428"/>
      <c r="G33" s="1429"/>
      <c r="H33" s="462"/>
      <c r="L33" s="1200"/>
      <c r="M33" s="1194"/>
      <c r="N33" s="1189"/>
      <c r="O33" s="1189"/>
      <c r="P33" s="1189"/>
      <c r="Q33" s="1189"/>
      <c r="R33" s="1189"/>
      <c r="S33" s="1189"/>
      <c r="T33" s="1189"/>
      <c r="U33" s="1189"/>
      <c r="V33" s="1190"/>
      <c r="W33" s="1189"/>
      <c r="X33" s="1191"/>
      <c r="Y33" s="311"/>
      <c r="Z33" s="311"/>
      <c r="AA33" s="311"/>
      <c r="AB33" s="311"/>
      <c r="AC33" s="311"/>
    </row>
    <row r="34" spans="1:29" ht="11.25" customHeight="1">
      <c r="F34" s="1060"/>
      <c r="G34" s="1060"/>
      <c r="H34" s="462"/>
      <c r="I34" s="1055"/>
      <c r="J34" s="1055"/>
      <c r="K34" s="1055"/>
      <c r="Y34" s="1055"/>
      <c r="Z34" s="1055"/>
      <c r="AA34" s="1055"/>
      <c r="AB34" s="1055"/>
      <c r="AC34" s="1055"/>
    </row>
    <row r="35" spans="1:29" ht="27" customHeight="1">
      <c r="H35" s="462"/>
      <c r="L35" s="1207" t="s">
        <v>702</v>
      </c>
      <c r="M35" s="2290" t="s">
        <v>2145</v>
      </c>
      <c r="N35" s="2290"/>
      <c r="O35" s="2290"/>
      <c r="P35" s="2290"/>
      <c r="Q35" s="2290"/>
      <c r="R35" s="2290"/>
      <c r="S35" s="2290"/>
      <c r="T35" s="2290"/>
      <c r="U35" s="2290"/>
      <c r="V35" s="2290"/>
      <c r="W35" s="2290"/>
      <c r="X35" s="2290"/>
    </row>
    <row r="36" spans="1:29" ht="104.25" customHeight="1">
      <c r="H36" s="462"/>
      <c r="I36" s="1222"/>
      <c r="M36" s="2290" t="s">
        <v>2146</v>
      </c>
      <c r="N36" s="2290"/>
      <c r="O36" s="2290"/>
      <c r="P36" s="2290"/>
      <c r="Q36" s="2290"/>
      <c r="R36" s="2290"/>
      <c r="S36" s="2290"/>
      <c r="T36" s="2290"/>
      <c r="U36" s="2290"/>
      <c r="V36" s="2290"/>
      <c r="W36" s="2290"/>
      <c r="X36" s="2290"/>
    </row>
    <row r="37" spans="1:29" ht="14.25" customHeight="1">
      <c r="H37" s="462"/>
    </row>
    <row r="38" spans="1:29" ht="14.25" customHeight="1">
      <c r="H38" s="462"/>
    </row>
    <row r="39" spans="1:29" ht="14.25" customHeight="1">
      <c r="H39" s="462"/>
    </row>
    <row r="40" spans="1:29" ht="14.25" customHeight="1">
      <c r="H40" s="462"/>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900-000000000000}"/>
    <dataValidation allowBlank="1" promptTitle="checkPeriodRange" sqref="R26 R65562 R131098 R196634 R262170 R327706 R393242 R458778 R524314 R589850 R655386 R720922 R786458 R851994 R917530 R983066" xr:uid="{00000000-0002-0000-39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9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9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9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9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9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9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61B4C-99D8-E50F-35FF-BD5F303415E6}">
  <sheetPr>
    <tabColor theme="6" tint="0.39997558519241921"/>
  </sheetPr>
  <dimension ref="A1:AC40"/>
  <sheetViews>
    <sheetView showGridLines="0" topLeftCell="A4" workbookViewId="0"/>
  </sheetViews>
  <sheetFormatPr defaultColWidth="10.5703125" defaultRowHeight="14.25" customHeight="1"/>
  <cols>
    <col min="1" max="1" width="11.5703125" style="1905" customWidth="1"/>
    <col min="2" max="2" width="10.7109375" style="1905" customWidth="1"/>
    <col min="3" max="3" width="10" style="1905" customWidth="1"/>
    <col min="4" max="4" width="12.85546875" style="1905" customWidth="1"/>
    <col min="5" max="5" width="12.28515625" style="1905" customWidth="1"/>
    <col min="6" max="8" width="12.28515625" style="2088" customWidth="1"/>
    <col min="9" max="9" width="3.7109375" style="2088" customWidth="1"/>
    <col min="10" max="11" width="3.7109375" style="1939" customWidth="1"/>
    <col min="12" max="12" width="12.7109375" style="1940" customWidth="1"/>
    <col min="13" max="13" width="32" style="1905" customWidth="1"/>
    <col min="14" max="14" width="1.7109375" style="1905" customWidth="1"/>
    <col min="15" max="18" width="24.7109375" style="1905" customWidth="1"/>
    <col min="19" max="19" width="11.7109375" style="1905" customWidth="1"/>
    <col min="20" max="20" width="3.7109375" style="1905" customWidth="1"/>
    <col min="21" max="21" width="11.7109375" style="1905" customWidth="1"/>
    <col min="22" max="22" width="8.5703125" style="1905" customWidth="1"/>
    <col min="23" max="23" width="4.7109375" style="1905" customWidth="1"/>
    <col min="24" max="24" width="115.7109375" style="1905" customWidth="1"/>
    <col min="25" max="26" width="10.5703125" style="1820"/>
    <col min="27" max="27" width="11.140625" style="1820" customWidth="1"/>
    <col min="28" max="29" width="10.5703125" style="1820"/>
  </cols>
  <sheetData>
    <row r="1" spans="6:29" ht="14.25" hidden="1" customHeight="1">
      <c r="R1" s="253"/>
      <c r="S1" s="253"/>
    </row>
    <row r="2" spans="6:29" ht="14.25" hidden="1" customHeight="1">
      <c r="V2" s="253"/>
    </row>
    <row r="3" spans="6:29" ht="14.25" hidden="1" customHeight="1"/>
    <row r="4" spans="6:29" ht="14.25" customHeight="1">
      <c r="J4" s="305"/>
      <c r="K4" s="305"/>
      <c r="L4" s="1195"/>
      <c r="M4" s="290"/>
      <c r="N4" s="290"/>
      <c r="O4" s="435"/>
      <c r="P4" s="435"/>
      <c r="Q4" s="435"/>
      <c r="R4" s="435"/>
      <c r="S4" s="435"/>
      <c r="T4" s="435"/>
      <c r="U4" s="435"/>
      <c r="V4" s="435"/>
    </row>
    <row r="5" spans="6:29" ht="64.5" customHeight="1">
      <c r="J5" s="305"/>
      <c r="K5" s="305"/>
      <c r="L5" s="2521" t="s">
        <v>2141</v>
      </c>
      <c r="M5" s="2521"/>
      <c r="N5" s="2521"/>
      <c r="O5" s="2521"/>
      <c r="P5" s="2521"/>
      <c r="Q5" s="2521"/>
      <c r="R5" s="2521"/>
      <c r="S5" s="2521"/>
      <c r="T5" s="2521"/>
      <c r="U5" s="2521"/>
      <c r="V5" s="1152"/>
    </row>
    <row r="6" spans="6:29" ht="14.25" customHeight="1">
      <c r="J6" s="305"/>
      <c r="K6" s="305"/>
      <c r="L6" s="2522" t="str">
        <f>IF(org=0,"Не определено",org)</f>
        <v>ПАО "Юнипро"</v>
      </c>
      <c r="M6" s="2522"/>
      <c r="N6" s="2522"/>
      <c r="O6" s="2522"/>
      <c r="P6" s="2522"/>
      <c r="Q6" s="2522"/>
      <c r="R6" s="2522"/>
      <c r="S6" s="2522"/>
      <c r="T6" s="2522"/>
      <c r="U6" s="2522"/>
      <c r="V6" s="1152"/>
    </row>
    <row r="7" spans="6:29" ht="14.25" customHeight="1">
      <c r="J7" s="305"/>
      <c r="K7" s="305"/>
      <c r="L7" s="1195"/>
      <c r="M7" s="290"/>
      <c r="N7" s="290"/>
      <c r="O7" s="246"/>
      <c r="P7" s="246"/>
      <c r="Q7" s="246"/>
      <c r="R7" s="246"/>
      <c r="S7" s="246"/>
      <c r="T7" s="246"/>
      <c r="U7" s="246"/>
      <c r="V7" s="246"/>
      <c r="W7" s="435"/>
    </row>
    <row r="8" spans="6:29" s="1936" customFormat="1" ht="45" customHeight="1">
      <c r="F8" s="1158"/>
      <c r="G8" s="1158"/>
      <c r="H8" s="1158"/>
      <c r="L8" s="1196"/>
      <c r="M8" s="213" t="s">
        <v>38</v>
      </c>
      <c r="N8" s="222"/>
      <c r="O8" s="2263" t="str">
        <f>IF(TITLE_NAME_OR_PR_CHANGE="",IF(TITLE_NAME_OR_PR="","",TITLE_NAME_OR_PR),TITLE_NAME_OR_PR_CHANGE)</f>
        <v>Министерство тарифной политики Красноярского края</v>
      </c>
      <c r="P8" s="2263"/>
      <c r="Q8" s="2263"/>
      <c r="R8" s="2263"/>
      <c r="S8" s="2263"/>
      <c r="T8" s="2263"/>
      <c r="U8" s="2263"/>
      <c r="V8" s="252"/>
      <c r="W8" s="252"/>
      <c r="X8" s="199"/>
      <c r="Y8" s="296"/>
      <c r="Z8" s="296"/>
      <c r="AA8" s="296"/>
      <c r="AB8" s="296"/>
      <c r="AC8" s="296"/>
    </row>
    <row r="9" spans="6:29" s="1936" customFormat="1" ht="22.5" customHeight="1">
      <c r="F9" s="1158"/>
      <c r="G9" s="1158"/>
      <c r="H9" s="1158"/>
      <c r="L9" s="1196"/>
      <c r="M9" s="213" t="s">
        <v>412</v>
      </c>
      <c r="N9" s="222"/>
      <c r="O9" s="2263">
        <f>IF(TITLE_DATE_CHANGE_PERIOD="",IF(TITLE_DATE_PR="","",TITLE_DATE_PR),TITLE_DATE_CHANGE_PERIOD)</f>
        <v>45292</v>
      </c>
      <c r="P9" s="2263"/>
      <c r="Q9" s="2263"/>
      <c r="R9" s="2263"/>
      <c r="S9" s="2263"/>
      <c r="T9" s="2263"/>
      <c r="U9" s="2263"/>
      <c r="V9" s="252"/>
      <c r="W9" s="252"/>
      <c r="X9" s="199"/>
      <c r="Y9" s="296"/>
      <c r="Z9" s="296"/>
      <c r="AA9" s="296"/>
      <c r="AB9" s="296"/>
      <c r="AC9" s="296"/>
    </row>
    <row r="10" spans="6:29" s="1936" customFormat="1" ht="22.5" customHeight="1">
      <c r="F10" s="1158"/>
      <c r="G10" s="1158"/>
      <c r="H10" s="1158"/>
      <c r="L10" s="1160"/>
      <c r="M10" s="213" t="s">
        <v>413</v>
      </c>
      <c r="N10" s="222"/>
      <c r="O10" s="2263" t="str">
        <f>IF(TITLE_NUMBER_PR_CHANGE="",IF(TITLE_NUMBER_PR="","",TITLE_NUMBER_PR),TITLE_NUMBER_PR_CHANGE)</f>
        <v>924-в</v>
      </c>
      <c r="P10" s="2263"/>
      <c r="Q10" s="2263"/>
      <c r="R10" s="2263"/>
      <c r="S10" s="2263"/>
      <c r="T10" s="2263"/>
      <c r="U10" s="2263"/>
      <c r="V10" s="252"/>
      <c r="W10" s="252"/>
      <c r="X10" s="199"/>
      <c r="Y10" s="296"/>
      <c r="Z10" s="296"/>
      <c r="AA10" s="296"/>
      <c r="AB10" s="296"/>
      <c r="AC10" s="296"/>
    </row>
    <row r="11" spans="6:29" s="1936" customFormat="1" ht="22.5" customHeight="1">
      <c r="F11" s="1158"/>
      <c r="G11" s="1158"/>
      <c r="H11" s="1158"/>
      <c r="L11" s="1160"/>
      <c r="M11" s="213" t="s">
        <v>40</v>
      </c>
      <c r="N11" s="222"/>
      <c r="O11" s="2263" t="str">
        <f>IF(TITLE_IST_PUB_CHANGE="",IF(TITLE_IST_PUB="","",TITLE_IST_PUB),TITLE_IST_PUB_CHANGE)</f>
        <v>Официальный интернет-портал правовой информации Красноярского края (http://www.zakon.krskstate.ru/)</v>
      </c>
      <c r="P11" s="2263"/>
      <c r="Q11" s="2263"/>
      <c r="R11" s="2263"/>
      <c r="S11" s="2263"/>
      <c r="T11" s="2263"/>
      <c r="U11" s="2263"/>
      <c r="V11" s="252"/>
      <c r="W11" s="252"/>
      <c r="X11" s="199"/>
      <c r="Y11" s="296"/>
      <c r="Z11" s="296"/>
      <c r="AA11" s="296"/>
      <c r="AB11" s="296"/>
      <c r="AC11" s="296"/>
    </row>
    <row r="12" spans="6:29" s="1936" customFormat="1" ht="11.25" hidden="1" customHeight="1">
      <c r="F12" s="1158"/>
      <c r="G12" s="1158"/>
      <c r="H12" s="1158"/>
      <c r="L12" s="2523"/>
      <c r="M12" s="2523"/>
      <c r="N12" s="1206"/>
      <c r="O12" s="252"/>
      <c r="P12" s="252"/>
      <c r="Q12" s="252"/>
      <c r="R12" s="252"/>
      <c r="S12" s="252"/>
      <c r="T12" s="252"/>
      <c r="U12" s="252"/>
      <c r="V12" s="197" t="s">
        <v>416</v>
      </c>
      <c r="Y12" s="296"/>
      <c r="Z12" s="296"/>
      <c r="AA12" s="296"/>
      <c r="AB12" s="296"/>
      <c r="AC12" s="296"/>
    </row>
    <row r="13" spans="6:29" ht="14.25" customHeight="1">
      <c r="J13" s="305"/>
      <c r="K13" s="305"/>
      <c r="L13" s="1195"/>
      <c r="M13" s="290"/>
      <c r="N13" s="1153"/>
      <c r="O13" s="2264"/>
      <c r="P13" s="2264"/>
      <c r="Q13" s="2264"/>
      <c r="R13" s="2264"/>
      <c r="S13" s="2264"/>
      <c r="T13" s="2264"/>
      <c r="U13" s="2264"/>
      <c r="V13" s="2264"/>
    </row>
    <row r="14" spans="6:29" ht="14.25" customHeight="1">
      <c r="J14" s="305"/>
      <c r="K14" s="305"/>
      <c r="L14" s="2143" t="s">
        <v>289</v>
      </c>
      <c r="M14" s="2143"/>
      <c r="N14" s="2143"/>
      <c r="O14" s="2143"/>
      <c r="P14" s="2143"/>
      <c r="Q14" s="2143"/>
      <c r="R14" s="2143"/>
      <c r="S14" s="2143"/>
      <c r="T14" s="2143"/>
      <c r="U14" s="2143"/>
      <c r="V14" s="2143"/>
      <c r="W14" s="2143"/>
      <c r="X14" s="2143" t="s">
        <v>290</v>
      </c>
    </row>
    <row r="15" spans="6:29" ht="14.25" customHeight="1">
      <c r="J15" s="305"/>
      <c r="K15" s="305"/>
      <c r="L15" s="2278" t="s">
        <v>87</v>
      </c>
      <c r="M15" s="2229" t="s">
        <v>417</v>
      </c>
      <c r="N15" s="219"/>
      <c r="O15" s="2279" t="s">
        <v>2142</v>
      </c>
      <c r="P15" s="2280"/>
      <c r="Q15" s="2280"/>
      <c r="R15" s="2280"/>
      <c r="S15" s="2280"/>
      <c r="T15" s="2280"/>
      <c r="U15" s="2281"/>
      <c r="V15" s="2282" t="s">
        <v>419</v>
      </c>
      <c r="W15" s="2285" t="s">
        <v>1057</v>
      </c>
      <c r="X15" s="2143"/>
    </row>
    <row r="16" spans="6:29" ht="33.75" customHeight="1">
      <c r="J16" s="305"/>
      <c r="K16" s="305"/>
      <c r="L16" s="2278"/>
      <c r="M16" s="2229"/>
      <c r="N16" s="938"/>
      <c r="O16" s="2199" t="s">
        <v>422</v>
      </c>
      <c r="P16" s="2199" t="s">
        <v>423</v>
      </c>
      <c r="Q16" s="2115" t="s">
        <v>424</v>
      </c>
      <c r="R16" s="2114"/>
      <c r="S16" s="2115" t="s">
        <v>437</v>
      </c>
      <c r="T16" s="2120"/>
      <c r="U16" s="2114"/>
      <c r="V16" s="2283"/>
      <c r="W16" s="2286"/>
      <c r="X16" s="2143"/>
    </row>
    <row r="17" spans="1:29" ht="33.75" customHeight="1">
      <c r="A17" s="1179" t="s">
        <v>133</v>
      </c>
      <c r="B17" s="1179" t="s">
        <v>134</v>
      </c>
      <c r="C17" s="1179" t="s">
        <v>135</v>
      </c>
      <c r="D17" s="1179" t="s">
        <v>136</v>
      </c>
      <c r="E17" s="1179"/>
      <c r="J17" s="305"/>
      <c r="K17" s="305"/>
      <c r="L17" s="2278"/>
      <c r="M17" s="2229"/>
      <c r="N17" s="220"/>
      <c r="O17" s="2249"/>
      <c r="P17" s="2249"/>
      <c r="Q17" s="1128" t="s">
        <v>433</v>
      </c>
      <c r="R17" s="1128" t="s">
        <v>434</v>
      </c>
      <c r="S17" s="1211" t="s">
        <v>435</v>
      </c>
      <c r="T17" s="2238" t="s">
        <v>436</v>
      </c>
      <c r="U17" s="2240"/>
      <c r="V17" s="2284"/>
      <c r="W17" s="2287"/>
      <c r="X17" s="2143"/>
    </row>
    <row r="18" spans="1:29" s="1819" customFormat="1" ht="11.25" customHeight="1">
      <c r="A18" s="1179"/>
      <c r="B18" s="1179"/>
      <c r="C18" s="1179"/>
      <c r="D18" s="1179"/>
      <c r="E18" s="1179"/>
      <c r="F18" s="1205"/>
      <c r="G18" s="1205"/>
      <c r="H18" s="1205"/>
      <c r="I18" s="1155"/>
      <c r="J18" s="1156"/>
      <c r="K18" s="1171">
        <v>1</v>
      </c>
      <c r="L18" s="1197" t="s">
        <v>108</v>
      </c>
      <c r="M18" s="1172" t="s">
        <v>109</v>
      </c>
      <c r="N18" s="1154" t="str">
        <f ca="1">OFFSET(N18,0,-1)</f>
        <v>2</v>
      </c>
      <c r="O18" s="1208">
        <f ca="1">OFFSET(O18,0,-1)+1</f>
        <v>3</v>
      </c>
      <c r="P18" s="1208"/>
      <c r="Q18" s="1208">
        <f ca="1">OFFSET(Q18,0,-1)+1</f>
        <v>1</v>
      </c>
      <c r="R18" s="1208">
        <f ca="1">OFFSET(R18,0,-1)+1</f>
        <v>2</v>
      </c>
      <c r="S18" s="1208">
        <f ca="1">OFFSET(S18,0,-1)+1</f>
        <v>3</v>
      </c>
      <c r="T18" s="2277">
        <f ca="1">OFFSET(T18,0,-1)+1</f>
        <v>4</v>
      </c>
      <c r="U18" s="2277"/>
      <c r="V18" s="1208">
        <f ca="1">OFFSET(V18,0,-2)+1</f>
        <v>5</v>
      </c>
      <c r="W18" s="1154">
        <f ca="1">OFFSET(W18,0,-1)</f>
        <v>5</v>
      </c>
      <c r="X18" s="1208">
        <f ca="1">OFFSET(X18,0,-1)+1</f>
        <v>6</v>
      </c>
      <c r="Y18" s="437"/>
      <c r="Z18" s="437"/>
      <c r="AA18" s="437"/>
      <c r="AB18" s="437"/>
      <c r="AC18" s="437"/>
    </row>
    <row r="19" spans="1:29" ht="21" customHeight="1">
      <c r="A19" s="1186" t="s">
        <v>2147</v>
      </c>
      <c r="B19" s="1186" t="s">
        <v>2148</v>
      </c>
      <c r="C19" s="1186" t="s">
        <v>2149</v>
      </c>
      <c r="D19" s="1186" t="s">
        <v>2150</v>
      </c>
      <c r="E19" s="1186"/>
      <c r="F19" s="608"/>
      <c r="G19" s="608"/>
      <c r="H19" s="608"/>
      <c r="I19" s="286"/>
      <c r="J19" s="285"/>
      <c r="K19" s="280"/>
      <c r="L19" s="1212" t="e">
        <f>INDEX(PT_DIFFERENTIATION_NUM_NTAR,MATCH(A19,PT_DIFFERENTIATION_NTAR_ID,0))</f>
        <v>#N/A</v>
      </c>
      <c r="M19" s="216" t="s">
        <v>122</v>
      </c>
      <c r="N19" s="218"/>
      <c r="O19" s="2524" t="e">
        <f>INDEX(PT_DIFFERENTIATION_NTAR,MATCH(A19,PT_DIFFERENTIATION_NTAR_ID,0))</f>
        <v>#N/A</v>
      </c>
      <c r="P19" s="2524"/>
      <c r="Q19" s="2524"/>
      <c r="R19" s="2524"/>
      <c r="S19" s="2524"/>
      <c r="T19" s="2524"/>
      <c r="U19" s="2524"/>
      <c r="V19" s="2524"/>
      <c r="W19" s="2524"/>
      <c r="X19" s="1177" t="s">
        <v>387</v>
      </c>
      <c r="Z19" s="426"/>
      <c r="AA19" s="426" t="str">
        <f t="shared" ref="AA19:AA32" si="0">IF(M19="","",M19)</f>
        <v>Наименование тарифа</v>
      </c>
      <c r="AB19" s="426"/>
      <c r="AC19" s="426"/>
    </row>
    <row r="20" spans="1:29" ht="21" customHeight="1">
      <c r="A20" s="1186" t="s">
        <v>2147</v>
      </c>
      <c r="B20" s="1186" t="s">
        <v>2148</v>
      </c>
      <c r="C20" s="1186" t="s">
        <v>2149</v>
      </c>
      <c r="D20" s="1186" t="s">
        <v>2150</v>
      </c>
      <c r="E20" s="1186"/>
      <c r="F20" s="608"/>
      <c r="G20" s="608"/>
      <c r="H20" s="608"/>
      <c r="I20" s="1209"/>
      <c r="J20" s="277"/>
      <c r="K20" s="278"/>
      <c r="L20" s="1212" t="e">
        <f>INDEX(PT_DIFFERENTIATION_NUM_TER,MATCH(B19,PT_DIFFERENTIATION_TER_ID,0))</f>
        <v>#N/A</v>
      </c>
      <c r="M20" s="228" t="s">
        <v>388</v>
      </c>
      <c r="N20" s="218"/>
      <c r="O20" s="2524" t="e">
        <f>INDEX(PT_DIFFERENTIATION_TER,MATCH(B19,PT_DIFFERENTIATION_TER_ID,0))</f>
        <v>#N/A</v>
      </c>
      <c r="P20" s="2524"/>
      <c r="Q20" s="2524"/>
      <c r="R20" s="2524"/>
      <c r="S20" s="2524"/>
      <c r="T20" s="2524"/>
      <c r="U20" s="2524"/>
      <c r="V20" s="2524"/>
      <c r="W20" s="2524"/>
      <c r="X20" s="1177" t="s">
        <v>389</v>
      </c>
      <c r="Z20" s="426"/>
      <c r="AA20" s="426" t="str">
        <f t="shared" si="0"/>
        <v>Территория действия тарифа</v>
      </c>
      <c r="AB20" s="426"/>
      <c r="AC20" s="426"/>
    </row>
    <row r="21" spans="1:29" ht="22.5" customHeight="1">
      <c r="A21" s="1186" t="s">
        <v>2147</v>
      </c>
      <c r="B21" s="1186" t="s">
        <v>2148</v>
      </c>
      <c r="C21" s="1186" t="s">
        <v>2149</v>
      </c>
      <c r="D21" s="1186" t="s">
        <v>2150</v>
      </c>
      <c r="E21" s="1186"/>
      <c r="F21" s="608"/>
      <c r="G21" s="608"/>
      <c r="H21" s="608"/>
      <c r="I21" s="279"/>
      <c r="J21" s="277"/>
      <c r="K21" s="278"/>
      <c r="L21" s="1212" t="e">
        <f>INDEX(PT_DIFFERENTIATION_NUM_CS,MATCH(C19,PT_DIFFERENTIATION_CS_ID,0))</f>
        <v>#N/A</v>
      </c>
      <c r="M21" s="229" t="s">
        <v>390</v>
      </c>
      <c r="N21" s="218"/>
      <c r="O21" s="2524" t="e">
        <f>INDEX(PT_DIFFERENTIATION_CS,MATCH(C19,PT_DIFFERENTIATION_CS_ID,0))</f>
        <v>#N/A</v>
      </c>
      <c r="P21" s="2524"/>
      <c r="Q21" s="2524"/>
      <c r="R21" s="2524"/>
      <c r="S21" s="2524"/>
      <c r="T21" s="2524"/>
      <c r="U21" s="2524"/>
      <c r="V21" s="2524"/>
      <c r="W21" s="2524"/>
      <c r="X21" s="1177" t="s">
        <v>391</v>
      </c>
      <c r="Z21" s="426"/>
      <c r="AA21" s="426" t="str">
        <f t="shared" si="0"/>
        <v xml:space="preserve">Наименование системы теплоснабжения </v>
      </c>
      <c r="AB21" s="426"/>
      <c r="AC21" s="426"/>
    </row>
    <row r="22" spans="1:29" ht="21" customHeight="1">
      <c r="A22" s="1186" t="s">
        <v>2147</v>
      </c>
      <c r="B22" s="1186" t="s">
        <v>2148</v>
      </c>
      <c r="C22" s="1186" t="s">
        <v>2149</v>
      </c>
      <c r="D22" s="1186" t="s">
        <v>2150</v>
      </c>
      <c r="E22" s="1186"/>
      <c r="F22" s="608"/>
      <c r="G22" s="608"/>
      <c r="H22" s="608"/>
      <c r="I22" s="279"/>
      <c r="J22" s="277"/>
      <c r="K22" s="278"/>
      <c r="L22" s="1212" t="e">
        <f>INDEX(PT_DIFFERENTIATION_NUM_IST_TE,MATCH(D19,PT_DIFFERENTIATION_IST_TE_ID,0))</f>
        <v>#N/A</v>
      </c>
      <c r="M22" s="230" t="s">
        <v>392</v>
      </c>
      <c r="N22" s="218"/>
      <c r="O22" s="2524" t="e">
        <f>INDEX(PT_DIFFERENTIATION_IST_TE,MATCH(D19,PT_DIFFERENTIATION_IST_TE_ID,0))</f>
        <v>#N/A</v>
      </c>
      <c r="P22" s="2524"/>
      <c r="Q22" s="2524"/>
      <c r="R22" s="2524"/>
      <c r="S22" s="2524"/>
      <c r="T22" s="2524"/>
      <c r="U22" s="2524"/>
      <c r="V22" s="2524"/>
      <c r="W22" s="2524"/>
      <c r="X22" s="1177" t="s">
        <v>393</v>
      </c>
      <c r="Z22" s="426"/>
      <c r="AA22" s="426" t="str">
        <f t="shared" si="0"/>
        <v xml:space="preserve">Источник тепловой энергии  </v>
      </c>
      <c r="AB22" s="426"/>
      <c r="AC22" s="426"/>
    </row>
    <row r="23" spans="1:29" ht="94.5" customHeight="1">
      <c r="A23" s="1186" t="s">
        <v>2147</v>
      </c>
      <c r="B23" s="1186" t="s">
        <v>2148</v>
      </c>
      <c r="C23" s="1186" t="s">
        <v>2149</v>
      </c>
      <c r="D23" s="1186" t="s">
        <v>2150</v>
      </c>
      <c r="E23" s="1186"/>
      <c r="F23" s="2118" t="e">
        <f>L22&amp;".1"</f>
        <v>#N/A</v>
      </c>
      <c r="I23" s="2269">
        <v>1</v>
      </c>
      <c r="J23" s="1210"/>
      <c r="K23" s="281"/>
      <c r="L23" s="1212" t="e">
        <f>$F$23</f>
        <v>#N/A</v>
      </c>
      <c r="M23" s="203" t="s">
        <v>395</v>
      </c>
      <c r="N23" s="218"/>
      <c r="O23" s="2525"/>
      <c r="P23" s="2525"/>
      <c r="Q23" s="2525"/>
      <c r="R23" s="2525"/>
      <c r="S23" s="2525"/>
      <c r="T23" s="2525"/>
      <c r="U23" s="2525"/>
      <c r="V23" s="2525"/>
      <c r="W23" s="2525"/>
      <c r="X23" s="1177" t="s">
        <v>396</v>
      </c>
      <c r="Z23" s="426"/>
      <c r="AA23" s="426" t="str">
        <f t="shared" si="0"/>
        <v>Схема подключения теплопотребляющей установки к коллектору источника тепловой энергии</v>
      </c>
      <c r="AB23" s="426"/>
      <c r="AC23" s="426"/>
    </row>
    <row r="24" spans="1:29" ht="84" customHeight="1">
      <c r="A24" s="1186" t="s">
        <v>2147</v>
      </c>
      <c r="B24" s="1186" t="s">
        <v>2148</v>
      </c>
      <c r="C24" s="1186" t="s">
        <v>2149</v>
      </c>
      <c r="D24" s="1186" t="s">
        <v>2150</v>
      </c>
      <c r="E24" s="1186"/>
      <c r="F24" s="2118"/>
      <c r="G24" s="2118" t="e">
        <f>F23&amp;".1"</f>
        <v>#N/A</v>
      </c>
      <c r="I24" s="2269"/>
      <c r="J24" s="2269">
        <v>1</v>
      </c>
      <c r="K24" s="282"/>
      <c r="L24" s="1212" t="e">
        <f>$G$24</f>
        <v>#N/A</v>
      </c>
      <c r="M24" s="204" t="s">
        <v>398</v>
      </c>
      <c r="N24" s="218"/>
      <c r="O24" s="2526"/>
      <c r="P24" s="2527"/>
      <c r="Q24" s="2527"/>
      <c r="R24" s="2527"/>
      <c r="S24" s="2527"/>
      <c r="T24" s="2527"/>
      <c r="U24" s="2527"/>
      <c r="V24" s="2527"/>
      <c r="W24" s="2528"/>
      <c r="X24" s="1177" t="s">
        <v>399</v>
      </c>
      <c r="Z24" s="426"/>
      <c r="AA24" s="426" t="str">
        <f t="shared" si="0"/>
        <v>Группа потребителей</v>
      </c>
      <c r="AB24" s="426"/>
      <c r="AC24" s="426"/>
    </row>
    <row r="25" spans="1:29" ht="11.25" customHeight="1">
      <c r="A25" s="1186" t="s">
        <v>2147</v>
      </c>
      <c r="B25" s="1186" t="s">
        <v>2148</v>
      </c>
      <c r="C25" s="1186" t="s">
        <v>2149</v>
      </c>
      <c r="D25" s="1186" t="s">
        <v>2150</v>
      </c>
      <c r="E25" s="1186"/>
      <c r="F25" s="2118"/>
      <c r="G25" s="2118"/>
      <c r="H25" s="2118" t="e">
        <f>G24&amp;".1"</f>
        <v>#N/A</v>
      </c>
      <c r="I25" s="2269"/>
      <c r="J25" s="2269"/>
      <c r="K25" s="282">
        <v>1</v>
      </c>
      <c r="L25" s="1212" t="e">
        <f>$H$25</f>
        <v>#N/A</v>
      </c>
      <c r="M25" s="1178"/>
      <c r="N25" s="218"/>
      <c r="O25" s="668"/>
      <c r="P25" s="250"/>
      <c r="Q25" s="668"/>
      <c r="R25" s="1176"/>
      <c r="S25" s="2273"/>
      <c r="T25" s="2124" t="s">
        <v>61</v>
      </c>
      <c r="U25" s="2273"/>
      <c r="V25" s="2124" t="s">
        <v>56</v>
      </c>
      <c r="W25" s="250"/>
      <c r="X25" s="2265" t="s">
        <v>401</v>
      </c>
      <c r="Y25" s="437" t="e">
        <f ca="1">STRCHECKDATE(O26:W26)</f>
        <v>#NAME?</v>
      </c>
      <c r="Z25" s="426"/>
      <c r="AA25" s="426" t="str">
        <f t="shared" si="0"/>
        <v/>
      </c>
      <c r="AB25" s="426"/>
      <c r="AC25" s="426"/>
    </row>
    <row r="26" spans="1:29" ht="11.25" customHeight="1">
      <c r="A26" s="1186" t="s">
        <v>2147</v>
      </c>
      <c r="B26" s="1186" t="s">
        <v>2148</v>
      </c>
      <c r="C26" s="1186" t="s">
        <v>2149</v>
      </c>
      <c r="D26" s="1186" t="s">
        <v>2150</v>
      </c>
      <c r="E26" s="1186"/>
      <c r="F26" s="2118"/>
      <c r="G26" s="2118"/>
      <c r="H26" s="2118"/>
      <c r="I26" s="2269"/>
      <c r="J26" s="2269"/>
      <c r="K26" s="282"/>
      <c r="L26" s="1213"/>
      <c r="M26" s="218"/>
      <c r="N26" s="218"/>
      <c r="O26" s="250"/>
      <c r="P26" s="250"/>
      <c r="Q26" s="250"/>
      <c r="R26" s="254" t="str">
        <f>S25&amp;"-"&amp;U25</f>
        <v>-</v>
      </c>
      <c r="S26" s="2274"/>
      <c r="T26" s="2124"/>
      <c r="U26" s="2274"/>
      <c r="V26" s="2124"/>
      <c r="W26" s="250"/>
      <c r="X26" s="2266"/>
      <c r="Z26" s="426"/>
      <c r="AA26" s="426" t="str">
        <f t="shared" si="0"/>
        <v/>
      </c>
      <c r="AB26" s="426"/>
      <c r="AC26" s="426"/>
    </row>
    <row r="27" spans="1:29" ht="15" customHeight="1">
      <c r="A27" s="1186" t="s">
        <v>2147</v>
      </c>
      <c r="B27" s="1186" t="s">
        <v>2148</v>
      </c>
      <c r="C27" s="1186" t="s">
        <v>2149</v>
      </c>
      <c r="D27" s="1186" t="s">
        <v>2150</v>
      </c>
      <c r="E27" s="1186"/>
      <c r="F27" s="2118"/>
      <c r="G27" s="2118"/>
      <c r="I27" s="2269"/>
      <c r="J27" s="2269"/>
      <c r="K27" s="281"/>
      <c r="L27" s="1198"/>
      <c r="M27" s="206" t="s">
        <v>402</v>
      </c>
      <c r="N27" s="295"/>
      <c r="O27" s="295"/>
      <c r="P27" s="295"/>
      <c r="Q27" s="295"/>
      <c r="R27" s="295"/>
      <c r="S27" s="295"/>
      <c r="T27" s="295"/>
      <c r="U27" s="295"/>
      <c r="V27" s="295"/>
      <c r="W27" s="249"/>
      <c r="X27" s="2267"/>
      <c r="Z27" s="426"/>
      <c r="AA27" s="426" t="str">
        <f t="shared" si="0"/>
        <v>Добавить вид теплоносителя (параметры теплоносителя)</v>
      </c>
      <c r="AB27" s="426"/>
      <c r="AC27" s="426"/>
    </row>
    <row r="28" spans="1:29" ht="15" customHeight="1">
      <c r="A28" s="1186" t="s">
        <v>2147</v>
      </c>
      <c r="B28" s="1186" t="s">
        <v>2148</v>
      </c>
      <c r="C28" s="1186" t="s">
        <v>2149</v>
      </c>
      <c r="D28" s="1186" t="s">
        <v>2150</v>
      </c>
      <c r="E28" s="1186"/>
      <c r="F28" s="2118"/>
      <c r="I28" s="2269"/>
      <c r="J28" s="1210"/>
      <c r="K28" s="281"/>
      <c r="L28" s="1198"/>
      <c r="M28" s="205" t="s">
        <v>403</v>
      </c>
      <c r="N28" s="295"/>
      <c r="O28" s="295"/>
      <c r="P28" s="295"/>
      <c r="Q28" s="295"/>
      <c r="R28" s="295"/>
      <c r="S28" s="295"/>
      <c r="T28" s="295"/>
      <c r="U28" s="295"/>
      <c r="V28" s="294"/>
      <c r="W28" s="295"/>
      <c r="X28" s="221"/>
      <c r="Z28" s="426"/>
      <c r="AA28" s="426" t="str">
        <f t="shared" si="0"/>
        <v>Добавить группу потребителей</v>
      </c>
      <c r="AB28" s="426"/>
      <c r="AC28" s="426"/>
    </row>
    <row r="29" spans="1:29" ht="14.25" customHeight="1">
      <c r="A29" s="1186" t="s">
        <v>2147</v>
      </c>
      <c r="B29" s="1186" t="s">
        <v>2148</v>
      </c>
      <c r="C29" s="1186" t="s">
        <v>2149</v>
      </c>
      <c r="D29" s="1186" t="s">
        <v>2150</v>
      </c>
      <c r="E29" s="1186"/>
      <c r="F29" s="608"/>
      <c r="G29" s="608"/>
      <c r="H29" s="435"/>
      <c r="I29" s="285"/>
      <c r="J29" s="304"/>
      <c r="K29" s="280"/>
      <c r="L29" s="1198"/>
      <c r="M29" s="292" t="s">
        <v>404</v>
      </c>
      <c r="N29" s="295"/>
      <c r="O29" s="295"/>
      <c r="P29" s="295"/>
      <c r="Q29" s="295"/>
      <c r="R29" s="295"/>
      <c r="S29" s="295"/>
      <c r="T29" s="295"/>
      <c r="U29" s="295"/>
      <c r="V29" s="294"/>
      <c r="W29" s="295"/>
      <c r="X29" s="221"/>
      <c r="Z29" s="426"/>
      <c r="AA29" s="426" t="str">
        <f t="shared" si="0"/>
        <v>Добавить схему подключения</v>
      </c>
      <c r="AB29" s="426"/>
      <c r="AC29" s="426"/>
    </row>
    <row r="30" spans="1:29" ht="14.25" customHeight="1">
      <c r="A30" s="1186" t="s">
        <v>2147</v>
      </c>
      <c r="B30" s="1186" t="s">
        <v>2148</v>
      </c>
      <c r="C30" s="1186" t="s">
        <v>2149</v>
      </c>
      <c r="D30" s="1186"/>
      <c r="E30" s="1186" t="s">
        <v>570</v>
      </c>
      <c r="F30" s="608"/>
      <c r="G30" s="608"/>
      <c r="H30" s="435"/>
      <c r="I30" s="285"/>
      <c r="J30" s="304"/>
      <c r="K30" s="280"/>
      <c r="L30" s="1199"/>
      <c r="M30" s="1188"/>
      <c r="N30" s="1189"/>
      <c r="O30" s="1189"/>
      <c r="P30" s="1189"/>
      <c r="Q30" s="1189"/>
      <c r="R30" s="1189"/>
      <c r="S30" s="1189"/>
      <c r="T30" s="1189"/>
      <c r="U30" s="1189"/>
      <c r="V30" s="1190"/>
      <c r="W30" s="1189"/>
      <c r="X30" s="1191"/>
      <c r="Z30" s="426"/>
      <c r="AA30" s="426" t="str">
        <f t="shared" si="0"/>
        <v/>
      </c>
      <c r="AB30" s="426"/>
      <c r="AC30" s="426"/>
    </row>
    <row r="31" spans="1:29" ht="14.25" customHeight="1">
      <c r="A31" s="1186" t="s">
        <v>2147</v>
      </c>
      <c r="B31" s="1186" t="s">
        <v>2148</v>
      </c>
      <c r="C31" s="1186"/>
      <c r="D31" s="1186"/>
      <c r="E31" s="1186" t="s">
        <v>2143</v>
      </c>
      <c r="F31" s="1174"/>
      <c r="G31" s="1174"/>
      <c r="H31" s="435"/>
      <c r="I31" s="283"/>
      <c r="J31" s="304"/>
      <c r="K31" s="284"/>
      <c r="L31" s="1199"/>
      <c r="M31" s="1192"/>
      <c r="N31" s="1189"/>
      <c r="O31" s="1189"/>
      <c r="P31" s="1189"/>
      <c r="Q31" s="1189"/>
      <c r="R31" s="1189"/>
      <c r="S31" s="1189"/>
      <c r="T31" s="1189"/>
      <c r="U31" s="1189"/>
      <c r="V31" s="1190"/>
      <c r="W31" s="1189"/>
      <c r="X31" s="1191"/>
      <c r="Z31" s="426"/>
      <c r="AA31" s="426" t="str">
        <f t="shared" si="0"/>
        <v/>
      </c>
      <c r="AB31" s="426"/>
      <c r="AC31" s="426"/>
    </row>
    <row r="32" spans="1:29" ht="14.25" customHeight="1">
      <c r="A32" s="1186" t="s">
        <v>2151</v>
      </c>
      <c r="B32" s="1186"/>
      <c r="C32" s="1186"/>
      <c r="D32" s="1186"/>
      <c r="E32" s="1186" t="s">
        <v>103</v>
      </c>
      <c r="F32" s="1174"/>
      <c r="G32" s="1174"/>
      <c r="H32" s="435"/>
      <c r="I32" s="285"/>
      <c r="J32" s="304"/>
      <c r="K32" s="280"/>
      <c r="L32" s="1199"/>
      <c r="M32" s="1193"/>
      <c r="N32" s="1189"/>
      <c r="O32" s="1189"/>
      <c r="P32" s="1189"/>
      <c r="Q32" s="1189"/>
      <c r="R32" s="1189"/>
      <c r="S32" s="1189"/>
      <c r="T32" s="1189"/>
      <c r="U32" s="1189"/>
      <c r="V32" s="1190"/>
      <c r="W32" s="1189"/>
      <c r="X32" s="1191"/>
      <c r="Z32" s="426"/>
      <c r="AA32" s="426" t="str">
        <f t="shared" si="0"/>
        <v/>
      </c>
      <c r="AB32" s="426"/>
      <c r="AC32" s="426"/>
    </row>
    <row r="33" spans="1:29" s="2067" customFormat="1" ht="11.25" customHeight="1">
      <c r="A33" s="1186"/>
      <c r="B33" s="1186"/>
      <c r="C33" s="1186"/>
      <c r="D33" s="1186"/>
      <c r="E33" s="1186" t="s">
        <v>217</v>
      </c>
      <c r="F33" s="1187"/>
      <c r="G33" s="1175"/>
      <c r="H33" s="435"/>
      <c r="L33" s="1200"/>
      <c r="M33" s="1194"/>
      <c r="N33" s="1189"/>
      <c r="O33" s="1189"/>
      <c r="P33" s="1189"/>
      <c r="Q33" s="1189"/>
      <c r="R33" s="1189"/>
      <c r="S33" s="1189"/>
      <c r="T33" s="1189"/>
      <c r="U33" s="1189"/>
      <c r="V33" s="1190"/>
      <c r="W33" s="1189"/>
      <c r="X33" s="1191"/>
      <c r="Y33" s="311"/>
      <c r="Z33" s="311"/>
      <c r="AA33" s="311"/>
      <c r="AB33" s="311"/>
      <c r="AC33" s="311"/>
    </row>
    <row r="34" spans="1:29" ht="11.25" customHeight="1">
      <c r="F34" s="1055"/>
      <c r="G34" s="1055"/>
      <c r="H34" s="435"/>
      <c r="I34" s="1055"/>
      <c r="J34" s="1055"/>
      <c r="K34" s="1055"/>
      <c r="Y34" s="1055"/>
      <c r="Z34" s="1055"/>
      <c r="AA34" s="1055"/>
      <c r="AB34" s="1055"/>
      <c r="AC34" s="1055"/>
    </row>
    <row r="35" spans="1:29" ht="27" customHeight="1">
      <c r="H35" s="435"/>
      <c r="L35" s="1207" t="s">
        <v>702</v>
      </c>
      <c r="M35" s="2290" t="s">
        <v>2145</v>
      </c>
      <c r="N35" s="2290"/>
      <c r="O35" s="2290"/>
      <c r="P35" s="2290"/>
      <c r="Q35" s="2290"/>
      <c r="R35" s="2290"/>
      <c r="S35" s="2290"/>
      <c r="T35" s="2290"/>
      <c r="U35" s="2290"/>
      <c r="V35" s="2290"/>
      <c r="W35" s="2290"/>
      <c r="X35" s="2290"/>
    </row>
    <row r="36" spans="1:29" ht="104.25" customHeight="1">
      <c r="F36" s="1222"/>
      <c r="G36" s="1222"/>
      <c r="H36" s="435"/>
      <c r="I36" s="1222"/>
      <c r="M36" s="2290" t="s">
        <v>2146</v>
      </c>
      <c r="N36" s="2290"/>
      <c r="O36" s="2290"/>
      <c r="P36" s="2290"/>
      <c r="Q36" s="2290"/>
      <c r="R36" s="2290"/>
      <c r="S36" s="2290"/>
      <c r="T36" s="2290"/>
      <c r="U36" s="2290"/>
      <c r="V36" s="2290"/>
      <c r="W36" s="2290"/>
      <c r="X36" s="2290"/>
    </row>
    <row r="37" spans="1:29" ht="14.25" customHeight="1">
      <c r="H37" s="435"/>
    </row>
    <row r="38" spans="1:29" ht="14.25" customHeight="1">
      <c r="H38" s="435"/>
    </row>
    <row r="39" spans="1:29" ht="14.25" customHeight="1">
      <c r="H39" s="435"/>
    </row>
    <row r="40" spans="1:29" ht="14.25" customHeight="1">
      <c r="H40" s="435"/>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A00-000000000000}">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A00-000001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A00-000002000000}">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A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A00-000005000000}"/>
    <dataValidation allowBlank="1" promptTitle="checkPeriodRange" sqref="R26 R65562 R131098 R196634 R262170 R327706 R393242 R458778 R524314 R589850 R655386 R720922 R786458 R851994 R917530 R983066" xr:uid="{00000000-0002-0000-3A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05A23-A0C6-97AF-91FD-2732E6C9CB16}">
  <sheetPr>
    <tabColor rgb="FFCCCCFF"/>
  </sheetPr>
  <dimension ref="A1:BL49"/>
  <sheetViews>
    <sheetView showGridLines="0" topLeftCell="C3" zoomScale="90" workbookViewId="0"/>
  </sheetViews>
  <sheetFormatPr defaultColWidth="9.140625" defaultRowHeight="11.25" customHeight="1"/>
  <cols>
    <col min="1" max="2" width="9.140625" style="1842" hidden="1"/>
    <col min="3" max="4" width="3.7109375" style="1842" customWidth="1"/>
    <col min="5" max="6" width="16" style="1842" customWidth="1"/>
    <col min="7" max="7" width="11.5703125" style="1842" customWidth="1"/>
    <col min="8" max="9" width="3.7109375" style="1842" customWidth="1"/>
    <col min="10" max="10" width="13.140625" style="1842" customWidth="1"/>
    <col min="11" max="11" width="0.28515625" style="1842" customWidth="1"/>
    <col min="12" max="13" width="10.7109375" style="1842" customWidth="1"/>
    <col min="14" max="15" width="3.7109375" style="1842" customWidth="1"/>
    <col min="16" max="16" width="19.7109375" style="1842" customWidth="1"/>
    <col min="17" max="17" width="0.28515625" style="1842" customWidth="1"/>
    <col min="18" max="19" width="10.7109375" style="1842" customWidth="1"/>
    <col min="20" max="21" width="3.7109375" style="1842" customWidth="1"/>
    <col min="22" max="22" width="25.7109375" style="1842" customWidth="1"/>
    <col min="23" max="23" width="0.28515625" style="1842" customWidth="1"/>
    <col min="24" max="25" width="10.7109375" style="1842" customWidth="1"/>
    <col min="26" max="27" width="3.7109375" style="1842" customWidth="1"/>
    <col min="28" max="28" width="16.42578125" style="1842" customWidth="1"/>
    <col min="29" max="29" width="0.28515625" style="1842" customWidth="1"/>
    <col min="30" max="31" width="10.7109375" style="1842" customWidth="1"/>
    <col min="32" max="33" width="3.7109375" style="1842" customWidth="1"/>
    <col min="34" max="34" width="8.7109375" style="1842" customWidth="1"/>
    <col min="35" max="35" width="21.7109375" style="1842" customWidth="1"/>
    <col min="36" max="36" width="9.140625" style="1831"/>
    <col min="37" max="37" width="9.140625" style="1903"/>
    <col min="38" max="64" width="9.140625" style="1831"/>
  </cols>
  <sheetData>
    <row r="1" spans="1:64" s="1832" customFormat="1" ht="11.25" hidden="1" customHeight="1">
      <c r="AJ1" s="355"/>
      <c r="AK1" s="355"/>
      <c r="AL1" s="355"/>
      <c r="AM1" s="355"/>
      <c r="AN1" s="355"/>
      <c r="AO1" s="355"/>
      <c r="AP1" s="355"/>
      <c r="AQ1" s="355"/>
      <c r="AR1" s="355"/>
      <c r="AS1" s="355"/>
      <c r="AT1" s="355"/>
      <c r="AU1" s="355"/>
      <c r="AV1" s="355"/>
      <c r="AW1" s="355"/>
      <c r="AX1" s="355"/>
      <c r="AY1" s="355"/>
      <c r="AZ1" s="355"/>
      <c r="BA1" s="355"/>
      <c r="BB1" s="355"/>
      <c r="BC1" s="355"/>
      <c r="BD1" s="355"/>
      <c r="BE1" s="355"/>
      <c r="BF1" s="355"/>
      <c r="BG1" s="355"/>
      <c r="BH1" s="355"/>
      <c r="BI1" s="355"/>
      <c r="BJ1" s="355"/>
      <c r="BK1" s="355"/>
      <c r="BL1" s="355"/>
    </row>
    <row r="2" spans="1:64" s="1901" customFormat="1" ht="11.25" hidden="1" customHeight="1">
      <c r="L2" s="1471" t="s">
        <v>268</v>
      </c>
      <c r="M2" s="1471" t="s">
        <v>269</v>
      </c>
      <c r="R2" s="1471" t="s">
        <v>270</v>
      </c>
      <c r="S2" s="1471" t="s">
        <v>269</v>
      </c>
      <c r="X2" s="1471" t="s">
        <v>268</v>
      </c>
      <c r="Y2" s="1471" t="s">
        <v>269</v>
      </c>
      <c r="AD2" s="1471" t="s">
        <v>268</v>
      </c>
      <c r="AE2" s="1471" t="s">
        <v>269</v>
      </c>
      <c r="AJ2" s="1492"/>
      <c r="AK2" s="1492"/>
      <c r="AL2" s="1492"/>
      <c r="AM2" s="1492"/>
      <c r="AN2" s="1492"/>
      <c r="AO2" s="1492"/>
      <c r="AP2" s="1492"/>
      <c r="AQ2" s="1492"/>
      <c r="AR2" s="1492"/>
      <c r="AS2" s="1492"/>
      <c r="AT2" s="1492"/>
      <c r="AU2" s="1492"/>
      <c r="AV2" s="1492"/>
      <c r="AW2" s="1492"/>
      <c r="AX2" s="1492"/>
      <c r="AY2" s="1492"/>
      <c r="AZ2" s="1492"/>
      <c r="BA2" s="1492"/>
      <c r="BB2" s="1492"/>
      <c r="BC2" s="1492"/>
      <c r="BD2" s="1492"/>
      <c r="BE2" s="1492"/>
      <c r="BF2" s="1492"/>
      <c r="BG2" s="1492"/>
      <c r="BH2" s="1492"/>
      <c r="BI2" s="1492"/>
      <c r="BJ2" s="1492"/>
      <c r="BK2" s="1492"/>
      <c r="BL2" s="1492"/>
    </row>
    <row r="3" spans="1:64" s="1902" customFormat="1" ht="11.25" customHeight="1">
      <c r="AJ3" s="1491"/>
      <c r="AK3" s="225"/>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row>
    <row r="4" spans="1:64" s="1829" customFormat="1" ht="33" customHeight="1">
      <c r="A4" s="1056"/>
      <c r="B4" s="1055"/>
      <c r="C4" s="1425"/>
      <c r="D4" s="2213" t="s">
        <v>271</v>
      </c>
      <c r="E4" s="2213"/>
      <c r="F4" s="2213"/>
      <c r="G4" s="2213"/>
      <c r="H4" s="2213"/>
      <c r="I4" s="2213"/>
      <c r="J4" s="2213"/>
      <c r="K4" s="619"/>
      <c r="T4" s="1472"/>
      <c r="AJ4" s="1493"/>
      <c r="AK4" s="1494"/>
      <c r="AL4" s="1493"/>
      <c r="AM4" s="1493"/>
      <c r="AN4" s="1493"/>
      <c r="AO4" s="1493"/>
      <c r="AP4" s="1493"/>
      <c r="AQ4" s="1493"/>
      <c r="AR4" s="1493"/>
      <c r="AS4" s="1493"/>
      <c r="AT4" s="1493"/>
      <c r="AU4" s="1493"/>
      <c r="AV4" s="1493"/>
      <c r="AW4" s="1493"/>
      <c r="AX4" s="1493"/>
      <c r="AY4" s="1493"/>
      <c r="AZ4" s="1493"/>
      <c r="BA4" s="1493"/>
      <c r="BB4" s="1493"/>
      <c r="BC4" s="1493"/>
      <c r="BD4" s="1493"/>
      <c r="BE4" s="1493"/>
      <c r="BF4" s="1493"/>
      <c r="BG4" s="1493"/>
      <c r="BH4" s="1493"/>
      <c r="BI4" s="1493"/>
      <c r="BJ4" s="1493"/>
      <c r="BK4" s="1493"/>
      <c r="BL4" s="1493"/>
    </row>
    <row r="5" spans="1:64" s="1906" customFormat="1" ht="14.25" customHeight="1">
      <c r="A5" s="1544"/>
      <c r="B5" s="1543"/>
      <c r="C5" s="1425"/>
      <c r="D5" s="2200" t="str">
        <f>IF(org=0,"Не определено",org)</f>
        <v>ПАО "Юнипро"</v>
      </c>
      <c r="E5" s="2200"/>
      <c r="F5" s="2200"/>
      <c r="G5" s="2200"/>
      <c r="H5" s="2200"/>
      <c r="I5" s="2200"/>
      <c r="J5" s="2200"/>
      <c r="K5" s="619"/>
      <c r="T5" s="1472"/>
      <c r="AJ5" s="1493"/>
      <c r="AK5" s="1494"/>
      <c r="AL5" s="1493"/>
      <c r="AM5" s="1493"/>
      <c r="AN5" s="1493"/>
      <c r="AO5" s="1493"/>
      <c r="AP5" s="1493"/>
      <c r="AQ5" s="1493"/>
      <c r="AR5" s="1493"/>
      <c r="AS5" s="1493"/>
      <c r="AT5" s="1493"/>
      <c r="AU5" s="1493"/>
      <c r="AV5" s="1493"/>
      <c r="AW5" s="1493"/>
      <c r="AX5" s="1493"/>
      <c r="AY5" s="1493"/>
      <c r="AZ5" s="1493"/>
      <c r="BA5" s="1493"/>
      <c r="BB5" s="1493"/>
      <c r="BC5" s="1493"/>
      <c r="BD5" s="1493"/>
      <c r="BE5" s="1493"/>
      <c r="BF5" s="1493"/>
      <c r="BG5" s="1493"/>
      <c r="BH5" s="1493"/>
      <c r="BI5" s="1493"/>
      <c r="BJ5" s="1493"/>
      <c r="BK5" s="1493"/>
      <c r="BL5" s="1493"/>
    </row>
    <row r="6" spans="1:64" s="1829" customFormat="1" ht="14.25" customHeight="1">
      <c r="A6" s="1056"/>
      <c r="B6" s="1055"/>
      <c r="C6" s="1425"/>
      <c r="D6" s="619"/>
      <c r="E6" s="619"/>
      <c r="F6" s="619"/>
      <c r="G6" s="619"/>
      <c r="H6" s="619"/>
      <c r="I6" s="619"/>
      <c r="J6" s="619"/>
      <c r="K6" s="619"/>
      <c r="T6" s="1472"/>
      <c r="AJ6" s="1493"/>
      <c r="AK6" s="1494"/>
      <c r="AL6" s="1493"/>
      <c r="AM6" s="1493"/>
      <c r="AN6" s="1493"/>
      <c r="AO6" s="1493"/>
      <c r="AP6" s="1493"/>
      <c r="AQ6" s="1493"/>
      <c r="AR6" s="1493"/>
      <c r="AS6" s="1493"/>
      <c r="AT6" s="1493"/>
      <c r="AU6" s="1493"/>
      <c r="AV6" s="1493"/>
      <c r="AW6" s="1493"/>
      <c r="AX6" s="1493"/>
      <c r="AY6" s="1493"/>
      <c r="AZ6" s="1493"/>
      <c r="BA6" s="1493"/>
      <c r="BB6" s="1493"/>
      <c r="BC6" s="1493"/>
      <c r="BD6" s="1493"/>
      <c r="BE6" s="1493"/>
      <c r="BF6" s="1493"/>
      <c r="BG6" s="1493"/>
      <c r="BH6" s="1493"/>
      <c r="BI6" s="1493"/>
      <c r="BJ6" s="1493"/>
      <c r="BK6" s="1493"/>
      <c r="BL6" s="1493"/>
    </row>
    <row r="7" spans="1:64" s="1832" customFormat="1" ht="0.75" customHeight="1">
      <c r="AJ7" s="355"/>
      <c r="AK7" s="355"/>
      <c r="AL7" s="355"/>
      <c r="AM7" s="355"/>
      <c r="AN7" s="355"/>
      <c r="AO7" s="355"/>
      <c r="AP7" s="355"/>
      <c r="AQ7" s="355"/>
      <c r="AR7" s="355"/>
      <c r="AS7" s="355"/>
      <c r="AT7" s="355"/>
      <c r="AU7" s="355"/>
      <c r="AV7" s="355"/>
      <c r="AW7" s="355"/>
      <c r="AX7" s="355"/>
      <c r="AY7" s="355"/>
      <c r="AZ7" s="355"/>
      <c r="BA7" s="355"/>
      <c r="BB7" s="355"/>
      <c r="BC7" s="355"/>
      <c r="BD7" s="355"/>
      <c r="BE7" s="355"/>
      <c r="BF7" s="355"/>
      <c r="BG7" s="355"/>
      <c r="BH7" s="355"/>
      <c r="BI7" s="355"/>
      <c r="BJ7" s="355"/>
      <c r="BK7" s="355"/>
      <c r="BL7" s="355"/>
    </row>
    <row r="8" spans="1:64" ht="31.5" customHeight="1">
      <c r="D8" s="2143" t="s">
        <v>87</v>
      </c>
      <c r="E8" s="2143" t="s">
        <v>104</v>
      </c>
      <c r="F8" s="2214" t="s">
        <v>121</v>
      </c>
      <c r="G8" s="2215"/>
      <c r="H8" s="2214" t="s">
        <v>87</v>
      </c>
      <c r="I8" s="2215"/>
      <c r="J8" s="2143" t="s">
        <v>122</v>
      </c>
      <c r="K8" s="1473"/>
      <c r="L8" s="2199" t="s">
        <v>272</v>
      </c>
      <c r="M8" s="2199"/>
      <c r="N8" s="2199"/>
      <c r="O8" s="2199"/>
      <c r="P8" s="2199"/>
      <c r="Q8" s="1474"/>
      <c r="R8" s="2115" t="s">
        <v>273</v>
      </c>
      <c r="S8" s="2120"/>
      <c r="T8" s="2120"/>
      <c r="U8" s="2120"/>
      <c r="V8" s="2120"/>
      <c r="W8" s="1474"/>
      <c r="X8" s="2143" t="s">
        <v>274</v>
      </c>
      <c r="Y8" s="2143"/>
      <c r="Z8" s="2143"/>
      <c r="AA8" s="2143"/>
      <c r="AB8" s="2143"/>
      <c r="AC8" s="1475"/>
      <c r="AD8" s="2143" t="s">
        <v>275</v>
      </c>
      <c r="AE8" s="2143"/>
      <c r="AF8" s="2143"/>
      <c r="AG8" s="2143"/>
      <c r="AH8" s="2115"/>
      <c r="AI8" s="2143" t="s">
        <v>276</v>
      </c>
      <c r="AJ8" s="1491"/>
    </row>
    <row r="9" spans="1:64" ht="22.5" customHeight="1">
      <c r="D9" s="2143"/>
      <c r="E9" s="2143"/>
      <c r="F9" s="2199" t="s">
        <v>88</v>
      </c>
      <c r="G9" s="2199" t="s">
        <v>127</v>
      </c>
      <c r="H9" s="2216"/>
      <c r="I9" s="2217"/>
      <c r="J9" s="2115"/>
      <c r="K9" s="1476"/>
      <c r="L9" s="2143" t="s">
        <v>277</v>
      </c>
      <c r="M9" s="2115"/>
      <c r="N9" s="2214" t="s">
        <v>87</v>
      </c>
      <c r="O9" s="2215"/>
      <c r="P9" s="2143" t="s">
        <v>128</v>
      </c>
      <c r="Q9" s="1473"/>
      <c r="R9" s="2143" t="s">
        <v>277</v>
      </c>
      <c r="S9" s="2115"/>
      <c r="T9" s="2214" t="s">
        <v>87</v>
      </c>
      <c r="U9" s="2215"/>
      <c r="V9" s="2143" t="s">
        <v>128</v>
      </c>
      <c r="W9" s="1473"/>
      <c r="X9" s="2143" t="s">
        <v>277</v>
      </c>
      <c r="Y9" s="2115"/>
      <c r="Z9" s="2214" t="s">
        <v>87</v>
      </c>
      <c r="AA9" s="2215"/>
      <c r="AB9" s="2143" t="s">
        <v>278</v>
      </c>
      <c r="AC9" s="1473"/>
      <c r="AD9" s="2143" t="s">
        <v>277</v>
      </c>
      <c r="AE9" s="2115"/>
      <c r="AF9" s="2214" t="s">
        <v>87</v>
      </c>
      <c r="AG9" s="2215"/>
      <c r="AH9" s="2115" t="s">
        <v>278</v>
      </c>
      <c r="AI9" s="2143"/>
      <c r="AJ9" s="1491"/>
    </row>
    <row r="10" spans="1:64" ht="22.5" customHeight="1">
      <c r="D10" s="2199"/>
      <c r="E10" s="2199"/>
      <c r="F10" s="2218"/>
      <c r="G10" s="2218"/>
      <c r="H10" s="2219"/>
      <c r="I10" s="2220"/>
      <c r="J10" s="2214"/>
      <c r="K10" s="1476"/>
      <c r="L10" s="1495" t="s">
        <v>279</v>
      </c>
      <c r="M10" s="1490" t="s">
        <v>280</v>
      </c>
      <c r="N10" s="2216"/>
      <c r="O10" s="2217"/>
      <c r="P10" s="2199"/>
      <c r="Q10" s="1473"/>
      <c r="R10" s="1495" t="s">
        <v>279</v>
      </c>
      <c r="S10" s="1490" t="s">
        <v>280</v>
      </c>
      <c r="T10" s="2216"/>
      <c r="U10" s="2217"/>
      <c r="V10" s="2199"/>
      <c r="W10" s="1473"/>
      <c r="X10" s="1495" t="s">
        <v>279</v>
      </c>
      <c r="Y10" s="1490" t="s">
        <v>280</v>
      </c>
      <c r="Z10" s="2216"/>
      <c r="AA10" s="2217"/>
      <c r="AB10" s="2199"/>
      <c r="AC10" s="1473"/>
      <c r="AD10" s="1495" t="s">
        <v>279</v>
      </c>
      <c r="AE10" s="1490" t="s">
        <v>280</v>
      </c>
      <c r="AF10" s="2216"/>
      <c r="AG10" s="2217"/>
      <c r="AH10" s="2214"/>
      <c r="AI10" s="2199"/>
      <c r="AJ10" s="1491"/>
      <c r="AK10" s="172" t="s">
        <v>281</v>
      </c>
      <c r="AL10" s="172" t="s">
        <v>129</v>
      </c>
    </row>
    <row r="11" spans="1:64" ht="14.25" customHeight="1">
      <c r="D11" s="2207" t="s">
        <v>108</v>
      </c>
      <c r="E11" s="2203" t="s">
        <v>282</v>
      </c>
      <c r="F11" s="2203" t="s">
        <v>283</v>
      </c>
      <c r="G11" s="2195" t="s">
        <v>56</v>
      </c>
      <c r="H11" s="1516"/>
      <c r="I11" s="2205"/>
      <c r="J11" s="2168"/>
      <c r="K11" s="1424"/>
      <c r="L11" s="2151"/>
      <c r="M11" s="2151"/>
      <c r="N11" s="1501"/>
      <c r="O11" s="2151"/>
      <c r="P11" s="2168"/>
      <c r="Q11" s="1502"/>
      <c r="R11" s="2151"/>
      <c r="S11" s="2151"/>
      <c r="T11" s="1503"/>
      <c r="U11" s="2151"/>
      <c r="V11" s="2168"/>
      <c r="W11" s="1504"/>
      <c r="X11" s="2151"/>
      <c r="Y11" s="2151"/>
      <c r="Z11" s="1501"/>
      <c r="AA11" s="2151"/>
      <c r="AB11" s="2168"/>
      <c r="AC11" s="1505"/>
      <c r="AD11" s="2151"/>
      <c r="AE11" s="2151"/>
      <c r="AF11" s="1423"/>
      <c r="AG11" s="1423"/>
      <c r="AH11" s="1506"/>
      <c r="AI11" s="1215"/>
      <c r="AJ11" s="1491"/>
    </row>
    <row r="12" spans="1:64" ht="14.25" customHeight="1">
      <c r="D12" s="2207"/>
      <c r="E12" s="2203"/>
      <c r="F12" s="2203"/>
      <c r="G12" s="2196"/>
      <c r="H12" s="1517"/>
      <c r="I12" s="2206"/>
      <c r="J12" s="2169"/>
      <c r="K12" s="1525"/>
      <c r="L12" s="2152"/>
      <c r="M12" s="2152"/>
      <c r="N12" s="1507"/>
      <c r="O12" s="2152"/>
      <c r="P12" s="2169"/>
      <c r="Q12" s="1508"/>
      <c r="R12" s="2152"/>
      <c r="S12" s="2152"/>
      <c r="T12" s="1509"/>
      <c r="U12" s="2152"/>
      <c r="V12" s="2169"/>
      <c r="W12" s="1510"/>
      <c r="X12" s="2152"/>
      <c r="Y12" s="2152"/>
      <c r="Z12" s="1507"/>
      <c r="AA12" s="2152"/>
      <c r="AB12" s="2169"/>
      <c r="AC12" s="1511"/>
      <c r="AD12" s="2152"/>
      <c r="AE12" s="2152"/>
      <c r="AF12" s="1512"/>
      <c r="AG12" s="1512"/>
      <c r="AH12" s="2201"/>
      <c r="AI12" s="2202"/>
      <c r="AJ12" s="1491"/>
    </row>
    <row r="13" spans="1:64" ht="14.25" customHeight="1">
      <c r="D13" s="2207"/>
      <c r="E13" s="2203"/>
      <c r="F13" s="2203"/>
      <c r="G13" s="2196"/>
      <c r="H13" s="1517"/>
      <c r="I13" s="2206"/>
      <c r="J13" s="2169"/>
      <c r="K13" s="1525"/>
      <c r="L13" s="2152"/>
      <c r="M13" s="2152"/>
      <c r="N13" s="1507"/>
      <c r="O13" s="2152"/>
      <c r="P13" s="2169"/>
      <c r="Q13" s="1508"/>
      <c r="R13" s="2152"/>
      <c r="S13" s="2152"/>
      <c r="T13" s="1509"/>
      <c r="U13" s="2152"/>
      <c r="V13" s="2169"/>
      <c r="W13" s="1510"/>
      <c r="X13" s="2152"/>
      <c r="Y13" s="2152"/>
      <c r="Z13" s="1422"/>
      <c r="AA13" s="1512"/>
      <c r="AB13" s="2201"/>
      <c r="AC13" s="2201"/>
      <c r="AD13" s="2201"/>
      <c r="AE13" s="2201"/>
      <c r="AF13" s="2201"/>
      <c r="AG13" s="2201"/>
      <c r="AH13" s="2201"/>
      <c r="AI13" s="2202"/>
      <c r="AJ13" s="1491"/>
    </row>
    <row r="14" spans="1:64" ht="14.25" customHeight="1">
      <c r="D14" s="2207"/>
      <c r="E14" s="2203"/>
      <c r="F14" s="2203"/>
      <c r="G14" s="2196"/>
      <c r="H14" s="1517"/>
      <c r="I14" s="2206"/>
      <c r="J14" s="2169"/>
      <c r="K14" s="1525"/>
      <c r="L14" s="2152"/>
      <c r="M14" s="2152"/>
      <c r="N14" s="1507"/>
      <c r="O14" s="2152"/>
      <c r="P14" s="2169"/>
      <c r="Q14" s="1508"/>
      <c r="R14" s="2152"/>
      <c r="S14" s="2152"/>
      <c r="T14" s="1513"/>
      <c r="U14" s="1514"/>
      <c r="V14" s="2201"/>
      <c r="W14" s="2201"/>
      <c r="X14" s="2201"/>
      <c r="Y14" s="2201"/>
      <c r="Z14" s="2201"/>
      <c r="AA14" s="2201"/>
      <c r="AB14" s="2201"/>
      <c r="AC14" s="2201"/>
      <c r="AD14" s="2201"/>
      <c r="AE14" s="2201"/>
      <c r="AF14" s="2201"/>
      <c r="AG14" s="2201"/>
      <c r="AH14" s="2201"/>
      <c r="AI14" s="2202"/>
      <c r="AJ14" s="1491"/>
    </row>
    <row r="15" spans="1:64" ht="11.25" customHeight="1">
      <c r="D15" s="2207"/>
      <c r="E15" s="2203"/>
      <c r="F15" s="2203"/>
      <c r="G15" s="2196"/>
      <c r="H15" s="1518"/>
      <c r="I15" s="2206"/>
      <c r="J15" s="2169"/>
      <c r="K15" s="1525"/>
      <c r="L15" s="2152"/>
      <c r="M15" s="2152"/>
      <c r="N15" s="1512"/>
      <c r="O15" s="1512"/>
      <c r="P15" s="2201"/>
      <c r="Q15" s="2201"/>
      <c r="R15" s="2201"/>
      <c r="S15" s="2201"/>
      <c r="T15" s="2201"/>
      <c r="U15" s="2201"/>
      <c r="V15" s="2201"/>
      <c r="W15" s="2201"/>
      <c r="X15" s="2201"/>
      <c r="Y15" s="2201"/>
      <c r="Z15" s="2201"/>
      <c r="AA15" s="2201"/>
      <c r="AB15" s="2201"/>
      <c r="AC15" s="2201"/>
      <c r="AD15" s="2201"/>
      <c r="AE15" s="2201"/>
      <c r="AF15" s="2201"/>
      <c r="AG15" s="2201"/>
      <c r="AH15" s="2201"/>
      <c r="AI15" s="2202"/>
      <c r="AJ15" s="1491"/>
    </row>
    <row r="16" spans="1:64" s="1902" customFormat="1" ht="11.25" customHeight="1">
      <c r="D16" s="2211"/>
      <c r="E16" s="2212"/>
      <c r="F16" s="2204"/>
      <c r="G16" s="2129"/>
      <c r="H16" s="1515"/>
      <c r="I16" s="1519"/>
      <c r="J16" s="2209"/>
      <c r="K16" s="2209"/>
      <c r="L16" s="2209"/>
      <c r="M16" s="2209"/>
      <c r="N16" s="2209"/>
      <c r="O16" s="2209"/>
      <c r="P16" s="2209"/>
      <c r="Q16" s="2209"/>
      <c r="R16" s="2209"/>
      <c r="S16" s="2209"/>
      <c r="T16" s="2209"/>
      <c r="U16" s="2209"/>
      <c r="V16" s="2209"/>
      <c r="W16" s="2209"/>
      <c r="X16" s="2209"/>
      <c r="Y16" s="2209"/>
      <c r="Z16" s="2209"/>
      <c r="AA16" s="2209"/>
      <c r="AB16" s="2209"/>
      <c r="AC16" s="2209"/>
      <c r="AD16" s="2209"/>
      <c r="AE16" s="2209"/>
      <c r="AF16" s="2209"/>
      <c r="AG16" s="2209"/>
      <c r="AH16" s="2209"/>
      <c r="AI16" s="2210"/>
      <c r="AJ16" s="1491"/>
      <c r="AK16" s="225"/>
      <c r="AL16" s="1491"/>
      <c r="AM16" s="1491"/>
      <c r="AN16" s="1491"/>
      <c r="AO16" s="1491"/>
      <c r="AP16" s="1491"/>
      <c r="AQ16" s="1491"/>
      <c r="AR16" s="1491"/>
      <c r="AS16" s="1491"/>
      <c r="AT16" s="1491"/>
      <c r="AU16" s="1491"/>
      <c r="AV16" s="1491"/>
      <c r="AW16" s="1491"/>
      <c r="AX16" s="1491"/>
      <c r="AY16" s="1491"/>
      <c r="AZ16" s="1491"/>
      <c r="BA16" s="1491"/>
      <c r="BB16" s="1491"/>
      <c r="BC16" s="1491"/>
      <c r="BD16" s="1491"/>
      <c r="BE16" s="1491"/>
      <c r="BF16" s="1491"/>
      <c r="BG16" s="1491"/>
      <c r="BH16" s="1491"/>
      <c r="BI16" s="1491"/>
      <c r="BJ16" s="1491"/>
      <c r="BK16" s="1491"/>
      <c r="BL16" s="1491"/>
    </row>
    <row r="17" spans="4:64" ht="14.25" customHeight="1">
      <c r="D17" s="2207" t="s">
        <v>109</v>
      </c>
      <c r="E17" s="2203" t="s">
        <v>282</v>
      </c>
      <c r="F17" s="2203" t="s">
        <v>284</v>
      </c>
      <c r="G17" s="2195" t="s">
        <v>56</v>
      </c>
      <c r="H17" s="1516"/>
      <c r="I17" s="2205"/>
      <c r="J17" s="2168"/>
      <c r="K17" s="1424"/>
      <c r="L17" s="2151"/>
      <c r="M17" s="2151"/>
      <c r="N17" s="1501"/>
      <c r="O17" s="2151"/>
      <c r="P17" s="2168"/>
      <c r="Q17" s="1502"/>
      <c r="R17" s="2151"/>
      <c r="S17" s="2151"/>
      <c r="T17" s="1503"/>
      <c r="U17" s="2151"/>
      <c r="V17" s="2168"/>
      <c r="W17" s="1504"/>
      <c r="X17" s="2151"/>
      <c r="Y17" s="2151"/>
      <c r="Z17" s="1501"/>
      <c r="AA17" s="2151"/>
      <c r="AB17" s="2168"/>
      <c r="AC17" s="1505"/>
      <c r="AD17" s="2151"/>
      <c r="AE17" s="2151"/>
      <c r="AF17" s="1423"/>
      <c r="AG17" s="1423"/>
      <c r="AH17" s="1506"/>
      <c r="AI17" s="1215"/>
      <c r="AJ17" s="1491"/>
    </row>
    <row r="18" spans="4:64" ht="14.25" customHeight="1">
      <c r="D18" s="2207"/>
      <c r="E18" s="2203"/>
      <c r="F18" s="2203"/>
      <c r="G18" s="2196"/>
      <c r="H18" s="1517"/>
      <c r="I18" s="2206"/>
      <c r="J18" s="2169"/>
      <c r="K18" s="1500"/>
      <c r="L18" s="2152"/>
      <c r="M18" s="2152"/>
      <c r="N18" s="1507"/>
      <c r="O18" s="2152"/>
      <c r="P18" s="2169"/>
      <c r="Q18" s="1508"/>
      <c r="R18" s="2152"/>
      <c r="S18" s="2152"/>
      <c r="T18" s="1509"/>
      <c r="U18" s="2152"/>
      <c r="V18" s="2169"/>
      <c r="W18" s="1510"/>
      <c r="X18" s="2152"/>
      <c r="Y18" s="2152"/>
      <c r="Z18" s="1507"/>
      <c r="AA18" s="2152"/>
      <c r="AB18" s="2169"/>
      <c r="AC18" s="1511"/>
      <c r="AD18" s="2152"/>
      <c r="AE18" s="2152"/>
      <c r="AF18" s="1512"/>
      <c r="AG18" s="1512"/>
      <c r="AH18" s="2201"/>
      <c r="AI18" s="2202"/>
      <c r="AJ18" s="1491"/>
    </row>
    <row r="19" spans="4:64" ht="14.25" customHeight="1">
      <c r="D19" s="2207"/>
      <c r="E19" s="2203"/>
      <c r="F19" s="2203"/>
      <c r="G19" s="2196"/>
      <c r="H19" s="1517"/>
      <c r="I19" s="2206"/>
      <c r="J19" s="2169"/>
      <c r="K19" s="1500"/>
      <c r="L19" s="2152"/>
      <c r="M19" s="2152"/>
      <c r="N19" s="1507"/>
      <c r="O19" s="2152"/>
      <c r="P19" s="2169"/>
      <c r="Q19" s="1508"/>
      <c r="R19" s="2152"/>
      <c r="S19" s="2152"/>
      <c r="T19" s="1509"/>
      <c r="U19" s="2152"/>
      <c r="V19" s="2169"/>
      <c r="W19" s="1510"/>
      <c r="X19" s="2152"/>
      <c r="Y19" s="2152"/>
      <c r="Z19" s="1422"/>
      <c r="AA19" s="1512"/>
      <c r="AB19" s="2201"/>
      <c r="AC19" s="2201"/>
      <c r="AD19" s="2201"/>
      <c r="AE19" s="2201"/>
      <c r="AF19" s="2201"/>
      <c r="AG19" s="2201"/>
      <c r="AH19" s="2201"/>
      <c r="AI19" s="2202"/>
      <c r="AJ19" s="1491"/>
    </row>
    <row r="20" spans="4:64" ht="14.25" customHeight="1">
      <c r="D20" s="2207"/>
      <c r="E20" s="2203"/>
      <c r="F20" s="2203"/>
      <c r="G20" s="2196"/>
      <c r="H20" s="1517"/>
      <c r="I20" s="2206"/>
      <c r="J20" s="2169"/>
      <c r="K20" s="1500"/>
      <c r="L20" s="2152"/>
      <c r="M20" s="2152"/>
      <c r="N20" s="1507"/>
      <c r="O20" s="2152"/>
      <c r="P20" s="2169"/>
      <c r="Q20" s="1508"/>
      <c r="R20" s="2152"/>
      <c r="S20" s="2152"/>
      <c r="T20" s="1513"/>
      <c r="U20" s="1514"/>
      <c r="V20" s="2201"/>
      <c r="W20" s="2201"/>
      <c r="X20" s="2201"/>
      <c r="Y20" s="2201"/>
      <c r="Z20" s="2201"/>
      <c r="AA20" s="2201"/>
      <c r="AB20" s="2201"/>
      <c r="AC20" s="2201"/>
      <c r="AD20" s="2201"/>
      <c r="AE20" s="2201"/>
      <c r="AF20" s="2201"/>
      <c r="AG20" s="2201"/>
      <c r="AH20" s="2201"/>
      <c r="AI20" s="2202"/>
      <c r="AJ20" s="1491"/>
    </row>
    <row r="21" spans="4:64" ht="11.25" customHeight="1">
      <c r="D21" s="2207"/>
      <c r="E21" s="2203"/>
      <c r="F21" s="2203"/>
      <c r="G21" s="2196"/>
      <c r="H21" s="1518"/>
      <c r="I21" s="2206"/>
      <c r="J21" s="2169"/>
      <c r="K21" s="1500"/>
      <c r="L21" s="2152"/>
      <c r="M21" s="2152"/>
      <c r="N21" s="1512"/>
      <c r="O21" s="1512"/>
      <c r="P21" s="2201"/>
      <c r="Q21" s="2201"/>
      <c r="R21" s="2201"/>
      <c r="S21" s="2201"/>
      <c r="T21" s="2201"/>
      <c r="U21" s="2201"/>
      <c r="V21" s="2201"/>
      <c r="W21" s="2201"/>
      <c r="X21" s="2201"/>
      <c r="Y21" s="2201"/>
      <c r="Z21" s="2201"/>
      <c r="AA21" s="2201"/>
      <c r="AB21" s="2201"/>
      <c r="AC21" s="2201"/>
      <c r="AD21" s="2201"/>
      <c r="AE21" s="2201"/>
      <c r="AF21" s="2201"/>
      <c r="AG21" s="2201"/>
      <c r="AH21" s="2201"/>
      <c r="AI21" s="2202"/>
      <c r="AJ21" s="1491"/>
    </row>
    <row r="22" spans="4:64" s="1902" customFormat="1" ht="11.25" customHeight="1">
      <c r="D22" s="2211"/>
      <c r="E22" s="2212"/>
      <c r="F22" s="2204"/>
      <c r="G22" s="2129"/>
      <c r="H22" s="1515"/>
      <c r="I22" s="1519"/>
      <c r="J22" s="2209"/>
      <c r="K22" s="2209"/>
      <c r="L22" s="2209"/>
      <c r="M22" s="2209"/>
      <c r="N22" s="2209"/>
      <c r="O22" s="2209"/>
      <c r="P22" s="2209"/>
      <c r="Q22" s="2209"/>
      <c r="R22" s="2209"/>
      <c r="S22" s="2209"/>
      <c r="T22" s="2209"/>
      <c r="U22" s="2209"/>
      <c r="V22" s="2209"/>
      <c r="W22" s="2209"/>
      <c r="X22" s="2209"/>
      <c r="Y22" s="2209"/>
      <c r="Z22" s="2209"/>
      <c r="AA22" s="2209"/>
      <c r="AB22" s="2209"/>
      <c r="AC22" s="2209"/>
      <c r="AD22" s="2209"/>
      <c r="AE22" s="2209"/>
      <c r="AF22" s="2209"/>
      <c r="AG22" s="2209"/>
      <c r="AH22" s="2209"/>
      <c r="AI22" s="2210"/>
      <c r="AJ22" s="1491"/>
      <c r="AK22" s="225"/>
      <c r="AL22" s="1491"/>
      <c r="AM22" s="1491"/>
      <c r="AN22" s="1491"/>
      <c r="AO22" s="1491"/>
      <c r="AP22" s="1491"/>
      <c r="AQ22" s="1491"/>
      <c r="AR22" s="1491"/>
      <c r="AS22" s="1491"/>
      <c r="AT22" s="1491"/>
      <c r="AU22" s="1491"/>
      <c r="AV22" s="1491"/>
      <c r="AW22" s="1491"/>
      <c r="AX22" s="1491"/>
      <c r="AY22" s="1491"/>
      <c r="AZ22" s="1491"/>
      <c r="BA22" s="1491"/>
      <c r="BB22" s="1491"/>
      <c r="BC22" s="1491"/>
      <c r="BD22" s="1491"/>
      <c r="BE22" s="1491"/>
      <c r="BF22" s="1491"/>
      <c r="BG22" s="1491"/>
      <c r="BH22" s="1491"/>
      <c r="BI22" s="1491"/>
      <c r="BJ22" s="1491"/>
      <c r="BK22" s="1491"/>
      <c r="BL22" s="1491"/>
    </row>
    <row r="23" spans="4:64" ht="14.25" customHeight="1">
      <c r="D23" s="2207" t="s">
        <v>89</v>
      </c>
      <c r="E23" s="2203" t="s">
        <v>282</v>
      </c>
      <c r="F23" s="2203" t="s">
        <v>285</v>
      </c>
      <c r="G23" s="2195" t="s">
        <v>56</v>
      </c>
      <c r="H23" s="1516"/>
      <c r="I23" s="2205"/>
      <c r="J23" s="2168"/>
      <c r="K23" s="1424"/>
      <c r="L23" s="2151"/>
      <c r="M23" s="2151"/>
      <c r="N23" s="1501"/>
      <c r="O23" s="2151"/>
      <c r="P23" s="2168"/>
      <c r="Q23" s="1502"/>
      <c r="R23" s="2151"/>
      <c r="S23" s="2151"/>
      <c r="T23" s="1503"/>
      <c r="U23" s="2151"/>
      <c r="V23" s="2168"/>
      <c r="W23" s="1504"/>
      <c r="X23" s="2151"/>
      <c r="Y23" s="2151"/>
      <c r="Z23" s="1501"/>
      <c r="AA23" s="2151"/>
      <c r="AB23" s="2168"/>
      <c r="AC23" s="1505"/>
      <c r="AD23" s="2151"/>
      <c r="AE23" s="2151"/>
      <c r="AF23" s="1423"/>
      <c r="AG23" s="1423"/>
      <c r="AH23" s="1506"/>
      <c r="AI23" s="1215"/>
      <c r="AJ23" s="1491"/>
      <c r="AK23" s="225" t="s">
        <v>97</v>
      </c>
    </row>
    <row r="24" spans="4:64" ht="14.25" customHeight="1">
      <c r="D24" s="2207"/>
      <c r="E24" s="2203"/>
      <c r="F24" s="2203"/>
      <c r="G24" s="2196"/>
      <c r="H24" s="1517"/>
      <c r="I24" s="2206"/>
      <c r="J24" s="2169"/>
      <c r="K24" s="1525"/>
      <c r="L24" s="2152"/>
      <c r="M24" s="2152"/>
      <c r="N24" s="1507"/>
      <c r="O24" s="2152"/>
      <c r="P24" s="2169"/>
      <c r="Q24" s="1508"/>
      <c r="R24" s="2152"/>
      <c r="S24" s="2152"/>
      <c r="T24" s="1509"/>
      <c r="U24" s="2152"/>
      <c r="V24" s="2169"/>
      <c r="W24" s="1510"/>
      <c r="X24" s="2152"/>
      <c r="Y24" s="2152"/>
      <c r="Z24" s="1507"/>
      <c r="AA24" s="2152"/>
      <c r="AB24" s="2169"/>
      <c r="AC24" s="1511"/>
      <c r="AD24" s="2152"/>
      <c r="AE24" s="2152"/>
      <c r="AF24" s="1512"/>
      <c r="AG24" s="1512"/>
      <c r="AH24" s="2201"/>
      <c r="AI24" s="2202"/>
      <c r="AJ24" s="1491"/>
    </row>
    <row r="25" spans="4:64" ht="14.25" customHeight="1">
      <c r="D25" s="2207"/>
      <c r="E25" s="2203"/>
      <c r="F25" s="2203"/>
      <c r="G25" s="2196"/>
      <c r="H25" s="1517"/>
      <c r="I25" s="2206"/>
      <c r="J25" s="2169"/>
      <c r="K25" s="1525"/>
      <c r="L25" s="2152"/>
      <c r="M25" s="2152"/>
      <c r="N25" s="1507"/>
      <c r="O25" s="2152"/>
      <c r="P25" s="2169"/>
      <c r="Q25" s="1508"/>
      <c r="R25" s="2152"/>
      <c r="S25" s="2152"/>
      <c r="T25" s="1509"/>
      <c r="U25" s="2152"/>
      <c r="V25" s="2169"/>
      <c r="W25" s="1510"/>
      <c r="X25" s="2152"/>
      <c r="Y25" s="2152"/>
      <c r="Z25" s="1422"/>
      <c r="AA25" s="1512"/>
      <c r="AB25" s="2201"/>
      <c r="AC25" s="2201"/>
      <c r="AD25" s="2201"/>
      <c r="AE25" s="2201"/>
      <c r="AF25" s="2201"/>
      <c r="AG25" s="2201"/>
      <c r="AH25" s="2201"/>
      <c r="AI25" s="2202"/>
      <c r="AJ25" s="1491"/>
    </row>
    <row r="26" spans="4:64" ht="14.25" customHeight="1">
      <c r="D26" s="2207"/>
      <c r="E26" s="2203"/>
      <c r="F26" s="2203"/>
      <c r="G26" s="2196"/>
      <c r="H26" s="1517"/>
      <c r="I26" s="2206"/>
      <c r="J26" s="2169"/>
      <c r="K26" s="1525"/>
      <c r="L26" s="2152"/>
      <c r="M26" s="2152"/>
      <c r="N26" s="1507"/>
      <c r="O26" s="2152"/>
      <c r="P26" s="2169"/>
      <c r="Q26" s="1508"/>
      <c r="R26" s="2152"/>
      <c r="S26" s="2152"/>
      <c r="T26" s="1513"/>
      <c r="U26" s="1514"/>
      <c r="V26" s="2201"/>
      <c r="W26" s="2201"/>
      <c r="X26" s="2201"/>
      <c r="Y26" s="2201"/>
      <c r="Z26" s="2201"/>
      <c r="AA26" s="2201"/>
      <c r="AB26" s="2201"/>
      <c r="AC26" s="2201"/>
      <c r="AD26" s="2201"/>
      <c r="AE26" s="2201"/>
      <c r="AF26" s="2201"/>
      <c r="AG26" s="2201"/>
      <c r="AH26" s="2201"/>
      <c r="AI26" s="2202"/>
      <c r="AJ26" s="1491"/>
    </row>
    <row r="27" spans="4:64" ht="11.25" customHeight="1">
      <c r="D27" s="2207"/>
      <c r="E27" s="2203"/>
      <c r="F27" s="2203"/>
      <c r="G27" s="2196"/>
      <c r="H27" s="1518"/>
      <c r="I27" s="2206"/>
      <c r="J27" s="2169"/>
      <c r="K27" s="1525"/>
      <c r="L27" s="2152"/>
      <c r="M27" s="2152"/>
      <c r="N27" s="1512"/>
      <c r="O27" s="1512"/>
      <c r="P27" s="2201"/>
      <c r="Q27" s="2201"/>
      <c r="R27" s="2201"/>
      <c r="S27" s="2201"/>
      <c r="T27" s="2201"/>
      <c r="U27" s="2201"/>
      <c r="V27" s="2201"/>
      <c r="W27" s="2201"/>
      <c r="X27" s="2201"/>
      <c r="Y27" s="2201"/>
      <c r="Z27" s="2201"/>
      <c r="AA27" s="2201"/>
      <c r="AB27" s="2201"/>
      <c r="AC27" s="2201"/>
      <c r="AD27" s="2201"/>
      <c r="AE27" s="2201"/>
      <c r="AF27" s="2201"/>
      <c r="AG27" s="2201"/>
      <c r="AH27" s="2201"/>
      <c r="AI27" s="2202"/>
      <c r="AJ27" s="1491"/>
    </row>
    <row r="28" spans="4:64" s="1902" customFormat="1" ht="11.25" customHeight="1">
      <c r="D28" s="2211"/>
      <c r="E28" s="2212"/>
      <c r="F28" s="2204"/>
      <c r="G28" s="2129"/>
      <c r="H28" s="1515"/>
      <c r="I28" s="1519"/>
      <c r="J28" s="2209"/>
      <c r="K28" s="2209"/>
      <c r="L28" s="2209"/>
      <c r="M28" s="2209"/>
      <c r="N28" s="2209"/>
      <c r="O28" s="2209"/>
      <c r="P28" s="2209"/>
      <c r="Q28" s="2209"/>
      <c r="R28" s="2209"/>
      <c r="S28" s="2209"/>
      <c r="T28" s="2209"/>
      <c r="U28" s="2209"/>
      <c r="V28" s="2209"/>
      <c r="W28" s="2209"/>
      <c r="X28" s="2209"/>
      <c r="Y28" s="2209"/>
      <c r="Z28" s="2209"/>
      <c r="AA28" s="2209"/>
      <c r="AB28" s="2209"/>
      <c r="AC28" s="2209"/>
      <c r="AD28" s="2209"/>
      <c r="AE28" s="2209"/>
      <c r="AF28" s="2209"/>
      <c r="AG28" s="2209"/>
      <c r="AH28" s="2209"/>
      <c r="AI28" s="2210"/>
      <c r="AJ28" s="1491"/>
      <c r="AK28" s="225"/>
      <c r="AL28" s="1491"/>
      <c r="AM28" s="1491"/>
      <c r="AN28" s="1491"/>
      <c r="AO28" s="1491"/>
      <c r="AP28" s="1491"/>
      <c r="AQ28" s="1491"/>
      <c r="AR28" s="1491"/>
      <c r="AS28" s="1491"/>
      <c r="AT28" s="1491"/>
      <c r="AU28" s="1491"/>
      <c r="AV28" s="1491"/>
      <c r="AW28" s="1491"/>
      <c r="AX28" s="1491"/>
      <c r="AY28" s="1491"/>
      <c r="AZ28" s="1491"/>
      <c r="BA28" s="1491"/>
      <c r="BB28" s="1491"/>
      <c r="BC28" s="1491"/>
      <c r="BD28" s="1491"/>
      <c r="BE28" s="1491"/>
      <c r="BF28" s="1491"/>
      <c r="BG28" s="1491"/>
      <c r="BH28" s="1491"/>
      <c r="BI28" s="1491"/>
      <c r="BJ28" s="1491"/>
      <c r="BK28" s="1491"/>
      <c r="BL28" s="1491"/>
    </row>
    <row r="29" spans="4:64" ht="14.25" customHeight="1">
      <c r="D29" s="2207" t="s">
        <v>90</v>
      </c>
      <c r="E29" s="2203" t="s">
        <v>282</v>
      </c>
      <c r="F29" s="2203" t="s">
        <v>286</v>
      </c>
      <c r="G29" s="2195" t="s">
        <v>56</v>
      </c>
      <c r="H29" s="1516"/>
      <c r="I29" s="2205"/>
      <c r="J29" s="2168"/>
      <c r="K29" s="1424"/>
      <c r="L29" s="2151"/>
      <c r="M29" s="2151"/>
      <c r="N29" s="1501"/>
      <c r="O29" s="2151"/>
      <c r="P29" s="2168"/>
      <c r="Q29" s="1502"/>
      <c r="R29" s="2151"/>
      <c r="S29" s="2151"/>
      <c r="T29" s="1503"/>
      <c r="U29" s="2151"/>
      <c r="V29" s="2168"/>
      <c r="W29" s="1504"/>
      <c r="X29" s="2151"/>
      <c r="Y29" s="2151"/>
      <c r="Z29" s="1501"/>
      <c r="AA29" s="2151"/>
      <c r="AB29" s="2168"/>
      <c r="AC29" s="1505"/>
      <c r="AD29" s="2151"/>
      <c r="AE29" s="2151"/>
      <c r="AF29" s="1423"/>
      <c r="AG29" s="1423"/>
      <c r="AH29" s="1506"/>
      <c r="AI29" s="1215"/>
      <c r="AJ29" s="1491"/>
    </row>
    <row r="30" spans="4:64" ht="14.25" customHeight="1">
      <c r="D30" s="2207"/>
      <c r="E30" s="2203"/>
      <c r="F30" s="2203"/>
      <c r="G30" s="2196"/>
      <c r="H30" s="1517"/>
      <c r="I30" s="2206"/>
      <c r="J30" s="2169"/>
      <c r="K30" s="1500"/>
      <c r="L30" s="2152"/>
      <c r="M30" s="2152"/>
      <c r="N30" s="1507"/>
      <c r="O30" s="2152"/>
      <c r="P30" s="2169"/>
      <c r="Q30" s="1508"/>
      <c r="R30" s="2152"/>
      <c r="S30" s="2152"/>
      <c r="T30" s="1509"/>
      <c r="U30" s="2152"/>
      <c r="V30" s="2169"/>
      <c r="W30" s="1510"/>
      <c r="X30" s="2152"/>
      <c r="Y30" s="2152"/>
      <c r="Z30" s="1507"/>
      <c r="AA30" s="2152"/>
      <c r="AB30" s="2169"/>
      <c r="AC30" s="1511"/>
      <c r="AD30" s="2152"/>
      <c r="AE30" s="2152"/>
      <c r="AF30" s="1512"/>
      <c r="AG30" s="1512"/>
      <c r="AH30" s="2201"/>
      <c r="AI30" s="2202"/>
      <c r="AJ30" s="1491"/>
    </row>
    <row r="31" spans="4:64" ht="14.25" customHeight="1">
      <c r="D31" s="2207"/>
      <c r="E31" s="2203"/>
      <c r="F31" s="2203"/>
      <c r="G31" s="2196"/>
      <c r="H31" s="1517"/>
      <c r="I31" s="2206"/>
      <c r="J31" s="2169"/>
      <c r="K31" s="1500"/>
      <c r="L31" s="2152"/>
      <c r="M31" s="2152"/>
      <c r="N31" s="1507"/>
      <c r="O31" s="2152"/>
      <c r="P31" s="2169"/>
      <c r="Q31" s="1508"/>
      <c r="R31" s="2152"/>
      <c r="S31" s="2152"/>
      <c r="T31" s="1509"/>
      <c r="U31" s="2152"/>
      <c r="V31" s="2169"/>
      <c r="W31" s="1510"/>
      <c r="X31" s="2152"/>
      <c r="Y31" s="2152"/>
      <c r="Z31" s="1422"/>
      <c r="AA31" s="1512"/>
      <c r="AB31" s="2201"/>
      <c r="AC31" s="2201"/>
      <c r="AD31" s="2201"/>
      <c r="AE31" s="2201"/>
      <c r="AF31" s="2201"/>
      <c r="AG31" s="2201"/>
      <c r="AH31" s="2201"/>
      <c r="AI31" s="2202"/>
      <c r="AJ31" s="1491"/>
    </row>
    <row r="32" spans="4:64" ht="14.25" customHeight="1">
      <c r="D32" s="2207"/>
      <c r="E32" s="2203"/>
      <c r="F32" s="2203"/>
      <c r="G32" s="2196"/>
      <c r="H32" s="1517"/>
      <c r="I32" s="2206"/>
      <c r="J32" s="2169"/>
      <c r="K32" s="1500"/>
      <c r="L32" s="2152"/>
      <c r="M32" s="2152"/>
      <c r="N32" s="1507"/>
      <c r="O32" s="2152"/>
      <c r="P32" s="2169"/>
      <c r="Q32" s="1508"/>
      <c r="R32" s="2152"/>
      <c r="S32" s="2152"/>
      <c r="T32" s="1513"/>
      <c r="U32" s="1514"/>
      <c r="V32" s="2201"/>
      <c r="W32" s="2201"/>
      <c r="X32" s="2201"/>
      <c r="Y32" s="2201"/>
      <c r="Z32" s="2201"/>
      <c r="AA32" s="2201"/>
      <c r="AB32" s="2201"/>
      <c r="AC32" s="2201"/>
      <c r="AD32" s="2201"/>
      <c r="AE32" s="2201"/>
      <c r="AF32" s="2201"/>
      <c r="AG32" s="2201"/>
      <c r="AH32" s="2201"/>
      <c r="AI32" s="2202"/>
      <c r="AJ32" s="1491"/>
    </row>
    <row r="33" spans="4:64" ht="11.25" customHeight="1">
      <c r="D33" s="2207"/>
      <c r="E33" s="2203"/>
      <c r="F33" s="2203"/>
      <c r="G33" s="2196"/>
      <c r="H33" s="1518"/>
      <c r="I33" s="2206"/>
      <c r="J33" s="2169"/>
      <c r="K33" s="1500"/>
      <c r="L33" s="2152"/>
      <c r="M33" s="2152"/>
      <c r="N33" s="1512"/>
      <c r="O33" s="1512"/>
      <c r="P33" s="2201"/>
      <c r="Q33" s="2201"/>
      <c r="R33" s="2201"/>
      <c r="S33" s="2201"/>
      <c r="T33" s="2201"/>
      <c r="U33" s="2201"/>
      <c r="V33" s="2201"/>
      <c r="W33" s="2201"/>
      <c r="X33" s="2201"/>
      <c r="Y33" s="2201"/>
      <c r="Z33" s="2201"/>
      <c r="AA33" s="2201"/>
      <c r="AB33" s="2201"/>
      <c r="AC33" s="2201"/>
      <c r="AD33" s="2201"/>
      <c r="AE33" s="2201"/>
      <c r="AF33" s="2201"/>
      <c r="AG33" s="2201"/>
      <c r="AH33" s="2201"/>
      <c r="AI33" s="2202"/>
      <c r="AJ33" s="1491"/>
    </row>
    <row r="34" spans="4:64" s="1902" customFormat="1" ht="11.25" customHeight="1">
      <c r="D34" s="2211"/>
      <c r="E34" s="2212"/>
      <c r="F34" s="2204"/>
      <c r="G34" s="2129"/>
      <c r="H34" s="1515"/>
      <c r="I34" s="1519"/>
      <c r="J34" s="2209"/>
      <c r="K34" s="2209"/>
      <c r="L34" s="2209"/>
      <c r="M34" s="2209"/>
      <c r="N34" s="2209"/>
      <c r="O34" s="2209"/>
      <c r="P34" s="2209"/>
      <c r="Q34" s="2209"/>
      <c r="R34" s="2209"/>
      <c r="S34" s="2209"/>
      <c r="T34" s="2209"/>
      <c r="U34" s="2209"/>
      <c r="V34" s="2209"/>
      <c r="W34" s="2209"/>
      <c r="X34" s="2209"/>
      <c r="Y34" s="2209"/>
      <c r="Z34" s="2209"/>
      <c r="AA34" s="2209"/>
      <c r="AB34" s="2209"/>
      <c r="AC34" s="2209"/>
      <c r="AD34" s="2209"/>
      <c r="AE34" s="2209"/>
      <c r="AF34" s="2209"/>
      <c r="AG34" s="2209"/>
      <c r="AH34" s="2209"/>
      <c r="AI34" s="2210"/>
      <c r="AJ34" s="1491"/>
      <c r="AK34" s="225"/>
      <c r="AL34" s="1491"/>
      <c r="AM34" s="1491"/>
      <c r="AN34" s="1491"/>
      <c r="AO34" s="1491"/>
      <c r="AP34" s="1491"/>
      <c r="AQ34" s="1491"/>
      <c r="AR34" s="1491"/>
      <c r="AS34" s="1491"/>
      <c r="AT34" s="1491"/>
      <c r="AU34" s="1491"/>
      <c r="AV34" s="1491"/>
      <c r="AW34" s="1491"/>
      <c r="AX34" s="1491"/>
      <c r="AY34" s="1491"/>
      <c r="AZ34" s="1491"/>
      <c r="BA34" s="1491"/>
      <c r="BB34" s="1491"/>
      <c r="BC34" s="1491"/>
      <c r="BD34" s="1491"/>
      <c r="BE34" s="1491"/>
      <c r="BF34" s="1491"/>
      <c r="BG34" s="1491"/>
      <c r="BH34" s="1491"/>
      <c r="BI34" s="1491"/>
      <c r="BJ34" s="1491"/>
      <c r="BK34" s="1491"/>
      <c r="BL34" s="1491"/>
    </row>
    <row r="35" spans="4:64" ht="14.25" customHeight="1">
      <c r="D35" s="2207" t="s">
        <v>110</v>
      </c>
      <c r="E35" s="2203" t="s">
        <v>282</v>
      </c>
      <c r="F35" s="2203" t="s">
        <v>287</v>
      </c>
      <c r="G35" s="2195" t="s">
        <v>56</v>
      </c>
      <c r="H35" s="1516"/>
      <c r="I35" s="2205"/>
      <c r="J35" s="2168"/>
      <c r="K35" s="1424"/>
      <c r="L35" s="2151"/>
      <c r="M35" s="2151"/>
      <c r="N35" s="1501"/>
      <c r="O35" s="2151"/>
      <c r="P35" s="2168"/>
      <c r="Q35" s="1502"/>
      <c r="R35" s="2151"/>
      <c r="S35" s="2151"/>
      <c r="T35" s="1503"/>
      <c r="U35" s="2151"/>
      <c r="V35" s="2168"/>
      <c r="W35" s="1504"/>
      <c r="X35" s="2151"/>
      <c r="Y35" s="2151"/>
      <c r="Z35" s="1501"/>
      <c r="AA35" s="2151"/>
      <c r="AB35" s="2168"/>
      <c r="AC35" s="1505"/>
      <c r="AD35" s="2151"/>
      <c r="AE35" s="2151"/>
      <c r="AF35" s="1423"/>
      <c r="AG35" s="1423"/>
      <c r="AH35" s="1506"/>
      <c r="AI35" s="1215"/>
      <c r="AJ35" s="1491"/>
    </row>
    <row r="36" spans="4:64" ht="14.25" customHeight="1">
      <c r="D36" s="2207"/>
      <c r="E36" s="2203"/>
      <c r="F36" s="2203"/>
      <c r="G36" s="2196"/>
      <c r="H36" s="1517"/>
      <c r="I36" s="2206"/>
      <c r="J36" s="2169"/>
      <c r="K36" s="1500"/>
      <c r="L36" s="2152"/>
      <c r="M36" s="2152"/>
      <c r="N36" s="1507"/>
      <c r="O36" s="2152"/>
      <c r="P36" s="2169"/>
      <c r="Q36" s="1508"/>
      <c r="R36" s="2152"/>
      <c r="S36" s="2152"/>
      <c r="T36" s="1509"/>
      <c r="U36" s="2152"/>
      <c r="V36" s="2169"/>
      <c r="W36" s="1510"/>
      <c r="X36" s="2152"/>
      <c r="Y36" s="2152"/>
      <c r="Z36" s="1507"/>
      <c r="AA36" s="2152"/>
      <c r="AB36" s="2169"/>
      <c r="AC36" s="1511"/>
      <c r="AD36" s="2152"/>
      <c r="AE36" s="2152"/>
      <c r="AF36" s="1512"/>
      <c r="AG36" s="1512"/>
      <c r="AH36" s="2201"/>
      <c r="AI36" s="2202"/>
      <c r="AJ36" s="1491"/>
    </row>
    <row r="37" spans="4:64" ht="14.25" customHeight="1">
      <c r="D37" s="2207"/>
      <c r="E37" s="2203"/>
      <c r="F37" s="2203"/>
      <c r="G37" s="2196"/>
      <c r="H37" s="1517"/>
      <c r="I37" s="2206"/>
      <c r="J37" s="2169"/>
      <c r="K37" s="1500"/>
      <c r="L37" s="2152"/>
      <c r="M37" s="2152"/>
      <c r="N37" s="1507"/>
      <c r="O37" s="2152"/>
      <c r="P37" s="2169"/>
      <c r="Q37" s="1508"/>
      <c r="R37" s="2152"/>
      <c r="S37" s="2152"/>
      <c r="T37" s="1509"/>
      <c r="U37" s="2152"/>
      <c r="V37" s="2169"/>
      <c r="W37" s="1510"/>
      <c r="X37" s="2152"/>
      <c r="Y37" s="2152"/>
      <c r="Z37" s="1422"/>
      <c r="AA37" s="1512"/>
      <c r="AB37" s="2201"/>
      <c r="AC37" s="2201"/>
      <c r="AD37" s="2201"/>
      <c r="AE37" s="2201"/>
      <c r="AF37" s="2201"/>
      <c r="AG37" s="2201"/>
      <c r="AH37" s="2201"/>
      <c r="AI37" s="2202"/>
      <c r="AJ37" s="1491"/>
    </row>
    <row r="38" spans="4:64" ht="14.25" customHeight="1">
      <c r="D38" s="2207"/>
      <c r="E38" s="2203"/>
      <c r="F38" s="2203"/>
      <c r="G38" s="2196"/>
      <c r="H38" s="1517"/>
      <c r="I38" s="2206"/>
      <c r="J38" s="2169"/>
      <c r="K38" s="1500"/>
      <c r="L38" s="2152"/>
      <c r="M38" s="2152"/>
      <c r="N38" s="1507"/>
      <c r="O38" s="2152"/>
      <c r="P38" s="2169"/>
      <c r="Q38" s="1508"/>
      <c r="R38" s="2152"/>
      <c r="S38" s="2152"/>
      <c r="T38" s="1513"/>
      <c r="U38" s="1514"/>
      <c r="V38" s="2201"/>
      <c r="W38" s="2201"/>
      <c r="X38" s="2201"/>
      <c r="Y38" s="2201"/>
      <c r="Z38" s="2201"/>
      <c r="AA38" s="2201"/>
      <c r="AB38" s="2201"/>
      <c r="AC38" s="2201"/>
      <c r="AD38" s="2201"/>
      <c r="AE38" s="2201"/>
      <c r="AF38" s="2201"/>
      <c r="AG38" s="2201"/>
      <c r="AH38" s="2201"/>
      <c r="AI38" s="2202"/>
      <c r="AJ38" s="1491"/>
    </row>
    <row r="39" spans="4:64" ht="11.25" customHeight="1">
      <c r="D39" s="2207"/>
      <c r="E39" s="2203"/>
      <c r="F39" s="2203"/>
      <c r="G39" s="2196"/>
      <c r="H39" s="1518"/>
      <c r="I39" s="2206"/>
      <c r="J39" s="2169"/>
      <c r="K39" s="1500"/>
      <c r="L39" s="2152"/>
      <c r="M39" s="2152"/>
      <c r="N39" s="1512"/>
      <c r="O39" s="1512"/>
      <c r="P39" s="2201"/>
      <c r="Q39" s="2201"/>
      <c r="R39" s="2201"/>
      <c r="S39" s="2201"/>
      <c r="T39" s="2201"/>
      <c r="U39" s="2201"/>
      <c r="V39" s="2201"/>
      <c r="W39" s="2201"/>
      <c r="X39" s="2201"/>
      <c r="Y39" s="2201"/>
      <c r="Z39" s="2201"/>
      <c r="AA39" s="2201"/>
      <c r="AB39" s="2201"/>
      <c r="AC39" s="2201"/>
      <c r="AD39" s="2201"/>
      <c r="AE39" s="2201"/>
      <c r="AF39" s="2201"/>
      <c r="AG39" s="2201"/>
      <c r="AH39" s="2201"/>
      <c r="AI39" s="2202"/>
      <c r="AJ39" s="1491"/>
    </row>
    <row r="40" spans="4:64" s="1902" customFormat="1" ht="11.25" customHeight="1">
      <c r="D40" s="2207"/>
      <c r="E40" s="2203"/>
      <c r="F40" s="2208"/>
      <c r="G40" s="2129"/>
      <c r="H40" s="1515"/>
      <c r="I40" s="1519"/>
      <c r="J40" s="2209"/>
      <c r="K40" s="2209"/>
      <c r="L40" s="2209"/>
      <c r="M40" s="2209"/>
      <c r="N40" s="2209"/>
      <c r="O40" s="2209"/>
      <c r="P40" s="2209"/>
      <c r="Q40" s="2209"/>
      <c r="R40" s="2209"/>
      <c r="S40" s="2209"/>
      <c r="T40" s="2209"/>
      <c r="U40" s="2209"/>
      <c r="V40" s="2209"/>
      <c r="W40" s="2209"/>
      <c r="X40" s="2209"/>
      <c r="Y40" s="2209"/>
      <c r="Z40" s="2209"/>
      <c r="AA40" s="2209"/>
      <c r="AB40" s="2209"/>
      <c r="AC40" s="2209"/>
      <c r="AD40" s="2209"/>
      <c r="AE40" s="2209"/>
      <c r="AF40" s="2209"/>
      <c r="AG40" s="2209"/>
      <c r="AH40" s="2209"/>
      <c r="AI40" s="2210"/>
      <c r="AJ40" s="1491"/>
      <c r="AK40" s="225"/>
      <c r="AL40" s="1491"/>
      <c r="AM40" s="1491"/>
      <c r="AN40" s="1491"/>
      <c r="AO40" s="1491"/>
      <c r="AP40" s="1491"/>
      <c r="AQ40" s="1491"/>
      <c r="AR40" s="1491"/>
      <c r="AS40" s="1491"/>
      <c r="AT40" s="1491"/>
      <c r="AU40" s="1491"/>
      <c r="AV40" s="1491"/>
      <c r="AW40" s="1491"/>
      <c r="AX40" s="1491"/>
      <c r="AY40" s="1491"/>
      <c r="AZ40" s="1491"/>
      <c r="BA40" s="1491"/>
      <c r="BB40" s="1491"/>
      <c r="BC40" s="1491"/>
      <c r="BD40" s="1491"/>
      <c r="BE40" s="1491"/>
      <c r="BF40" s="1491"/>
      <c r="BG40" s="1491"/>
      <c r="BH40" s="1491"/>
      <c r="BI40" s="1491"/>
      <c r="BJ40" s="1491"/>
      <c r="BK40" s="1491"/>
      <c r="BL40" s="1491"/>
    </row>
    <row r="41" spans="4:64" ht="11.25" customHeight="1">
      <c r="AK41" s="356"/>
    </row>
    <row r="42" spans="4:64" ht="11.25" customHeight="1">
      <c r="AK42" s="356"/>
    </row>
    <row r="43" spans="4:64" ht="11.25" customHeight="1">
      <c r="AK43" s="356"/>
    </row>
    <row r="44" spans="4:64" ht="11.25" customHeight="1">
      <c r="AK44" s="356"/>
    </row>
    <row r="45" spans="4:64" ht="11.25" customHeight="1">
      <c r="AK45" s="356"/>
    </row>
    <row r="46" spans="4:64" ht="11.25" customHeight="1">
      <c r="AK46" s="356"/>
    </row>
    <row r="47" spans="4:64" ht="11.25" customHeight="1">
      <c r="AK47" s="356"/>
    </row>
    <row r="48" spans="4:64" ht="11.25" customHeight="1">
      <c r="AK48" s="356"/>
    </row>
    <row r="49" spans="37:37" ht="11.25" customHeight="1">
      <c r="AK49" s="356"/>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41A47-022E-0CE3-7113-0CE8663F10E1}">
  <sheetPr>
    <tabColor theme="6" tint="0.39997558519241921"/>
  </sheetPr>
  <dimension ref="A1:AC40"/>
  <sheetViews>
    <sheetView showGridLines="0" topLeftCell="A4" workbookViewId="0"/>
  </sheetViews>
  <sheetFormatPr defaultColWidth="10.5703125" defaultRowHeight="14.25" customHeight="1"/>
  <cols>
    <col min="1" max="1" width="10.5703125" style="1905"/>
    <col min="2" max="2" width="11" style="1905" customWidth="1"/>
    <col min="3" max="3" width="10.5703125" style="1905"/>
    <col min="4" max="4" width="11.85546875" style="1905" customWidth="1"/>
    <col min="5" max="5" width="12.28515625" style="1905" customWidth="1"/>
    <col min="6" max="8" width="12.28515625" style="2088" customWidth="1"/>
    <col min="9" max="9" width="3.7109375" style="2088" customWidth="1"/>
    <col min="10" max="11" width="3.7109375" style="1939" customWidth="1"/>
    <col min="12" max="12" width="12.7109375" style="1940" customWidth="1"/>
    <col min="13" max="13" width="32" style="1905" customWidth="1"/>
    <col min="14" max="14" width="1.7109375" style="1905" customWidth="1"/>
    <col min="15" max="18" width="24.7109375" style="1905" customWidth="1"/>
    <col min="19" max="19" width="11.7109375" style="1905" customWidth="1"/>
    <col min="20" max="20" width="3.7109375" style="1905" customWidth="1"/>
    <col min="21" max="21" width="11.7109375" style="1905" customWidth="1"/>
    <col min="22" max="22" width="8.5703125" style="1905" customWidth="1"/>
    <col min="23" max="23" width="4.7109375" style="1905" customWidth="1"/>
    <col min="24" max="24" width="115.7109375" style="1905" customWidth="1"/>
    <col min="25" max="26" width="10.5703125" style="1820"/>
    <col min="27" max="27" width="11.140625" style="1820" customWidth="1"/>
    <col min="28" max="29" width="10.5703125" style="1820"/>
  </cols>
  <sheetData>
    <row r="1" spans="6:29" ht="14.25" hidden="1" customHeight="1">
      <c r="R1" s="253"/>
      <c r="S1" s="253"/>
    </row>
    <row r="2" spans="6:29" ht="14.25" hidden="1" customHeight="1">
      <c r="V2" s="253"/>
    </row>
    <row r="3" spans="6:29" ht="14.25" hidden="1" customHeight="1"/>
    <row r="4" spans="6:29" ht="14.25" customHeight="1">
      <c r="J4" s="305"/>
      <c r="K4" s="305"/>
      <c r="L4" s="1195"/>
      <c r="M4" s="290"/>
      <c r="N4" s="290"/>
      <c r="O4" s="435"/>
      <c r="P4" s="435"/>
      <c r="Q4" s="435"/>
      <c r="R4" s="435"/>
      <c r="S4" s="435"/>
      <c r="T4" s="435"/>
      <c r="U4" s="435"/>
      <c r="V4" s="435"/>
    </row>
    <row r="5" spans="6:29" ht="64.5" customHeight="1">
      <c r="J5" s="305"/>
      <c r="K5" s="305"/>
      <c r="L5" s="2521" t="s">
        <v>2141</v>
      </c>
      <c r="M5" s="2521"/>
      <c r="N5" s="2521"/>
      <c r="O5" s="2521"/>
      <c r="P5" s="2521"/>
      <c r="Q5" s="2521"/>
      <c r="R5" s="2521"/>
      <c r="S5" s="2521"/>
      <c r="T5" s="2521"/>
      <c r="U5" s="2521"/>
      <c r="V5" s="1152"/>
    </row>
    <row r="6" spans="6:29" ht="14.25" customHeight="1">
      <c r="J6" s="305"/>
      <c r="K6" s="305"/>
      <c r="L6" s="2522" t="str">
        <f>IF(org=0,"Не определено",org)</f>
        <v>ПАО "Юнипро"</v>
      </c>
      <c r="M6" s="2522"/>
      <c r="N6" s="2522"/>
      <c r="O6" s="2522"/>
      <c r="P6" s="2522"/>
      <c r="Q6" s="2522"/>
      <c r="R6" s="2522"/>
      <c r="S6" s="2522"/>
      <c r="T6" s="2522"/>
      <c r="U6" s="2522"/>
      <c r="V6" s="1152"/>
    </row>
    <row r="7" spans="6:29" ht="14.25" customHeight="1">
      <c r="J7" s="305"/>
      <c r="K7" s="305"/>
      <c r="L7" s="1195"/>
      <c r="M7" s="290"/>
      <c r="N7" s="290"/>
      <c r="O7" s="246"/>
      <c r="P7" s="246"/>
      <c r="Q7" s="246"/>
      <c r="R7" s="246"/>
      <c r="S7" s="246"/>
      <c r="T7" s="246"/>
      <c r="U7" s="246"/>
      <c r="V7" s="246"/>
      <c r="W7" s="435"/>
    </row>
    <row r="8" spans="6:29" s="1936" customFormat="1" ht="45" customHeight="1">
      <c r="F8" s="1158"/>
      <c r="G8" s="1158"/>
      <c r="H8" s="1158"/>
      <c r="L8" s="1196"/>
      <c r="M8" s="213" t="s">
        <v>38</v>
      </c>
      <c r="N8" s="222"/>
      <c r="O8" s="2263" t="str">
        <f>IF(TITLE_NAME_OR_PR_CHANGE="",IF(TITLE_NAME_OR_PR="","",TITLE_NAME_OR_PR),TITLE_NAME_OR_PR_CHANGE)</f>
        <v>Министерство тарифной политики Красноярского края</v>
      </c>
      <c r="P8" s="2263"/>
      <c r="Q8" s="2263"/>
      <c r="R8" s="2263"/>
      <c r="S8" s="2263"/>
      <c r="T8" s="2263"/>
      <c r="U8" s="2263"/>
      <c r="V8" s="252"/>
      <c r="W8" s="252"/>
      <c r="X8" s="199"/>
      <c r="Y8" s="296"/>
      <c r="Z8" s="296"/>
      <c r="AA8" s="296"/>
      <c r="AB8" s="296"/>
      <c r="AC8" s="296"/>
    </row>
    <row r="9" spans="6:29" s="1936" customFormat="1" ht="22.5" customHeight="1">
      <c r="F9" s="1158"/>
      <c r="G9" s="1158"/>
      <c r="H9" s="1158"/>
      <c r="L9" s="1196"/>
      <c r="M9" s="213" t="s">
        <v>412</v>
      </c>
      <c r="N9" s="222"/>
      <c r="O9" s="2263">
        <f>IF(TITLE_DATE_CHANGE_PERIOD="",IF(TITLE_DATE_PR="","",TITLE_DATE_PR),TITLE_DATE_CHANGE_PERIOD)</f>
        <v>45292</v>
      </c>
      <c r="P9" s="2263"/>
      <c r="Q9" s="2263"/>
      <c r="R9" s="2263"/>
      <c r="S9" s="2263"/>
      <c r="T9" s="2263"/>
      <c r="U9" s="2263"/>
      <c r="V9" s="252"/>
      <c r="W9" s="252"/>
      <c r="X9" s="199"/>
      <c r="Y9" s="296"/>
      <c r="Z9" s="296"/>
      <c r="AA9" s="296"/>
      <c r="AB9" s="296"/>
      <c r="AC9" s="296"/>
    </row>
    <row r="10" spans="6:29" s="1936" customFormat="1" ht="22.5" customHeight="1">
      <c r="F10" s="1158"/>
      <c r="G10" s="1158"/>
      <c r="H10" s="1158"/>
      <c r="L10" s="1160"/>
      <c r="M10" s="213" t="s">
        <v>413</v>
      </c>
      <c r="N10" s="222"/>
      <c r="O10" s="2263" t="str">
        <f>IF(TITLE_NUMBER_PR_CHANGE="",IF(TITLE_NUMBER_PR="","",TITLE_NUMBER_PR),TITLE_NUMBER_PR_CHANGE)</f>
        <v>924-в</v>
      </c>
      <c r="P10" s="2263"/>
      <c r="Q10" s="2263"/>
      <c r="R10" s="2263"/>
      <c r="S10" s="2263"/>
      <c r="T10" s="2263"/>
      <c r="U10" s="2263"/>
      <c r="V10" s="252"/>
      <c r="W10" s="252"/>
      <c r="X10" s="199"/>
      <c r="Y10" s="296"/>
      <c r="Z10" s="296"/>
      <c r="AA10" s="296"/>
      <c r="AB10" s="296"/>
      <c r="AC10" s="296"/>
    </row>
    <row r="11" spans="6:29" s="1936" customFormat="1" ht="22.5" customHeight="1">
      <c r="F11" s="1158"/>
      <c r="G11" s="1158"/>
      <c r="H11" s="1158"/>
      <c r="L11" s="1160"/>
      <c r="M11" s="213" t="s">
        <v>40</v>
      </c>
      <c r="N11" s="222"/>
      <c r="O11" s="2263" t="str">
        <f>IF(TITLE_IST_PUB_CHANGE="",IF(TITLE_IST_PUB="","",TITLE_IST_PUB),TITLE_IST_PUB_CHANGE)</f>
        <v>Официальный интернет-портал правовой информации Красноярского края (http://www.zakon.krskstate.ru/)</v>
      </c>
      <c r="P11" s="2263"/>
      <c r="Q11" s="2263"/>
      <c r="R11" s="2263"/>
      <c r="S11" s="2263"/>
      <c r="T11" s="2263"/>
      <c r="U11" s="2263"/>
      <c r="V11" s="252"/>
      <c r="W11" s="252"/>
      <c r="X11" s="199"/>
      <c r="Y11" s="296"/>
      <c r="Z11" s="296"/>
      <c r="AA11" s="296"/>
      <c r="AB11" s="296"/>
      <c r="AC11" s="296"/>
    </row>
    <row r="12" spans="6:29" s="1936" customFormat="1" ht="11.25" hidden="1" customHeight="1">
      <c r="F12" s="1158"/>
      <c r="G12" s="1158"/>
      <c r="H12" s="1158"/>
      <c r="L12" s="2523"/>
      <c r="M12" s="2523"/>
      <c r="N12" s="1206"/>
      <c r="O12" s="252"/>
      <c r="P12" s="252"/>
      <c r="Q12" s="252"/>
      <c r="R12" s="252"/>
      <c r="S12" s="252"/>
      <c r="T12" s="252"/>
      <c r="U12" s="252"/>
      <c r="V12" s="197" t="s">
        <v>416</v>
      </c>
      <c r="Y12" s="296"/>
      <c r="Z12" s="296"/>
      <c r="AA12" s="296"/>
      <c r="AB12" s="296"/>
      <c r="AC12" s="296"/>
    </row>
    <row r="13" spans="6:29" ht="14.25" customHeight="1">
      <c r="J13" s="305"/>
      <c r="K13" s="305"/>
      <c r="L13" s="1195"/>
      <c r="M13" s="290"/>
      <c r="N13" s="1153"/>
      <c r="O13" s="2264"/>
      <c r="P13" s="2264"/>
      <c r="Q13" s="2264"/>
      <c r="R13" s="2264"/>
      <c r="S13" s="2264"/>
      <c r="T13" s="2264"/>
      <c r="U13" s="2264"/>
      <c r="V13" s="2264"/>
    </row>
    <row r="14" spans="6:29" ht="14.25" customHeight="1">
      <c r="J14" s="305"/>
      <c r="K14" s="305"/>
      <c r="L14" s="2143" t="s">
        <v>289</v>
      </c>
      <c r="M14" s="2143"/>
      <c r="N14" s="2143"/>
      <c r="O14" s="2143"/>
      <c r="P14" s="2143"/>
      <c r="Q14" s="2143"/>
      <c r="R14" s="2143"/>
      <c r="S14" s="2143"/>
      <c r="T14" s="2143"/>
      <c r="U14" s="2143"/>
      <c r="V14" s="2143"/>
      <c r="W14" s="2143"/>
      <c r="X14" s="2143" t="s">
        <v>290</v>
      </c>
    </row>
    <row r="15" spans="6:29" ht="14.25" customHeight="1">
      <c r="J15" s="305"/>
      <c r="K15" s="305"/>
      <c r="L15" s="2278" t="s">
        <v>87</v>
      </c>
      <c r="M15" s="2229" t="s">
        <v>417</v>
      </c>
      <c r="N15" s="219"/>
      <c r="O15" s="2279" t="s">
        <v>2142</v>
      </c>
      <c r="P15" s="2280"/>
      <c r="Q15" s="2280"/>
      <c r="R15" s="2280"/>
      <c r="S15" s="2280"/>
      <c r="T15" s="2280"/>
      <c r="U15" s="2281"/>
      <c r="V15" s="2282" t="s">
        <v>419</v>
      </c>
      <c r="W15" s="2285" t="s">
        <v>1057</v>
      </c>
      <c r="X15" s="2143"/>
    </row>
    <row r="16" spans="6:29" ht="33.75" customHeight="1">
      <c r="J16" s="305"/>
      <c r="K16" s="305"/>
      <c r="L16" s="2278"/>
      <c r="M16" s="2229"/>
      <c r="N16" s="938"/>
      <c r="O16" s="2199" t="s">
        <v>422</v>
      </c>
      <c r="P16" s="2199" t="s">
        <v>423</v>
      </c>
      <c r="Q16" s="2115" t="s">
        <v>424</v>
      </c>
      <c r="R16" s="2114"/>
      <c r="S16" s="2115" t="s">
        <v>437</v>
      </c>
      <c r="T16" s="2120"/>
      <c r="U16" s="2114"/>
      <c r="V16" s="2283"/>
      <c r="W16" s="2286"/>
      <c r="X16" s="2143"/>
    </row>
    <row r="17" spans="1:29" ht="33.75" customHeight="1">
      <c r="A17" s="1179" t="s">
        <v>133</v>
      </c>
      <c r="B17" s="1179" t="s">
        <v>134</v>
      </c>
      <c r="C17" s="1179" t="s">
        <v>135</v>
      </c>
      <c r="D17" s="1179" t="s">
        <v>136</v>
      </c>
      <c r="E17" s="1179"/>
      <c r="J17" s="305"/>
      <c r="K17" s="305"/>
      <c r="L17" s="2278"/>
      <c r="M17" s="2229"/>
      <c r="N17" s="220"/>
      <c r="O17" s="2249"/>
      <c r="P17" s="2249"/>
      <c r="Q17" s="1128" t="s">
        <v>433</v>
      </c>
      <c r="R17" s="1128" t="s">
        <v>434</v>
      </c>
      <c r="S17" s="1211" t="s">
        <v>435</v>
      </c>
      <c r="T17" s="2238" t="s">
        <v>436</v>
      </c>
      <c r="U17" s="2240"/>
      <c r="V17" s="2284"/>
      <c r="W17" s="2287"/>
      <c r="X17" s="2143"/>
    </row>
    <row r="18" spans="1:29" s="1819" customFormat="1" ht="11.25" customHeight="1">
      <c r="A18" s="1179"/>
      <c r="B18" s="1179"/>
      <c r="C18" s="1179"/>
      <c r="D18" s="1179"/>
      <c r="E18" s="1179"/>
      <c r="F18" s="1205"/>
      <c r="G18" s="1205"/>
      <c r="H18" s="1205"/>
      <c r="I18" s="1155"/>
      <c r="J18" s="1156"/>
      <c r="K18" s="1171">
        <v>1</v>
      </c>
      <c r="L18" s="1197" t="s">
        <v>108</v>
      </c>
      <c r="M18" s="1172" t="s">
        <v>109</v>
      </c>
      <c r="N18" s="1154" t="str">
        <f ca="1">OFFSET(N18,0,-1)</f>
        <v>2</v>
      </c>
      <c r="O18" s="1208">
        <f ca="1">OFFSET(O18,0,-1)+1</f>
        <v>3</v>
      </c>
      <c r="P18" s="1208"/>
      <c r="Q18" s="1208">
        <f ca="1">OFFSET(Q18,0,-1)+1</f>
        <v>1</v>
      </c>
      <c r="R18" s="1208">
        <f ca="1">OFFSET(R18,0,-1)+1</f>
        <v>2</v>
      </c>
      <c r="S18" s="1208">
        <f ca="1">OFFSET(S18,0,-1)+1</f>
        <v>3</v>
      </c>
      <c r="T18" s="2277">
        <f ca="1">OFFSET(T18,0,-1)+1</f>
        <v>4</v>
      </c>
      <c r="U18" s="2277"/>
      <c r="V18" s="1208">
        <f ca="1">OFFSET(V18,0,-2)+1</f>
        <v>5</v>
      </c>
      <c r="W18" s="1154">
        <f ca="1">OFFSET(W18,0,-1)</f>
        <v>5</v>
      </c>
      <c r="X18" s="1208">
        <f ca="1">OFFSET(X18,0,-1)+1</f>
        <v>6</v>
      </c>
      <c r="Y18" s="437"/>
      <c r="Z18" s="437"/>
      <c r="AA18" s="437"/>
      <c r="AB18" s="437"/>
      <c r="AC18" s="437"/>
    </row>
    <row r="19" spans="1:29" ht="21" customHeight="1">
      <c r="A19" s="1186" t="s">
        <v>2152</v>
      </c>
      <c r="B19" s="1186" t="s">
        <v>2153</v>
      </c>
      <c r="C19" s="1186" t="s">
        <v>2154</v>
      </c>
      <c r="D19" s="1186" t="s">
        <v>2155</v>
      </c>
      <c r="E19" s="1186"/>
      <c r="F19" s="608"/>
      <c r="G19" s="608"/>
      <c r="H19" s="608"/>
      <c r="I19" s="286"/>
      <c r="J19" s="285"/>
      <c r="K19" s="280"/>
      <c r="L19" s="1212" t="e">
        <f>INDEX(PT_DIFFERENTIATION_NUM_NTAR,MATCH(A19,PT_DIFFERENTIATION_NTAR_ID,0))</f>
        <v>#N/A</v>
      </c>
      <c r="M19" s="216" t="s">
        <v>122</v>
      </c>
      <c r="N19" s="218"/>
      <c r="O19" s="2524" t="e">
        <f>INDEX(PT_DIFFERENTIATION_NTAR,MATCH(A19,PT_DIFFERENTIATION_NTAR_ID,0))</f>
        <v>#N/A</v>
      </c>
      <c r="P19" s="2524"/>
      <c r="Q19" s="2524"/>
      <c r="R19" s="2524"/>
      <c r="S19" s="2524"/>
      <c r="T19" s="2524"/>
      <c r="U19" s="2524"/>
      <c r="V19" s="2524"/>
      <c r="W19" s="2524"/>
      <c r="X19" s="1177" t="s">
        <v>387</v>
      </c>
      <c r="Z19" s="426"/>
      <c r="AA19" s="426" t="str">
        <f t="shared" ref="AA19:AA32" si="0">IF(M19="","",M19)</f>
        <v>Наименование тарифа</v>
      </c>
      <c r="AB19" s="426"/>
      <c r="AC19" s="426"/>
    </row>
    <row r="20" spans="1:29" ht="21" customHeight="1">
      <c r="A20" s="1186" t="s">
        <v>2152</v>
      </c>
      <c r="B20" s="1186" t="s">
        <v>2153</v>
      </c>
      <c r="C20" s="1186" t="s">
        <v>2154</v>
      </c>
      <c r="D20" s="1186" t="s">
        <v>2155</v>
      </c>
      <c r="E20" s="1186"/>
      <c r="F20" s="608"/>
      <c r="G20" s="608"/>
      <c r="H20" s="608"/>
      <c r="I20" s="1209"/>
      <c r="J20" s="277"/>
      <c r="K20" s="278"/>
      <c r="L20" s="1212" t="e">
        <f>INDEX(PT_DIFFERENTIATION_NUM_TER,MATCH(B19,PT_DIFFERENTIATION_TER_ID,0))</f>
        <v>#N/A</v>
      </c>
      <c r="M20" s="228" t="s">
        <v>388</v>
      </c>
      <c r="N20" s="218"/>
      <c r="O20" s="2524" t="e">
        <f>INDEX(PT_DIFFERENTIATION_TER,MATCH(B19,PT_DIFFERENTIATION_TER_ID,0))</f>
        <v>#N/A</v>
      </c>
      <c r="P20" s="2524"/>
      <c r="Q20" s="2524"/>
      <c r="R20" s="2524"/>
      <c r="S20" s="2524"/>
      <c r="T20" s="2524"/>
      <c r="U20" s="2524"/>
      <c r="V20" s="2524"/>
      <c r="W20" s="2524"/>
      <c r="X20" s="1177" t="s">
        <v>389</v>
      </c>
      <c r="Z20" s="426"/>
      <c r="AA20" s="426" t="str">
        <f t="shared" si="0"/>
        <v>Территория действия тарифа</v>
      </c>
      <c r="AB20" s="426"/>
      <c r="AC20" s="426"/>
    </row>
    <row r="21" spans="1:29" ht="22.5" customHeight="1">
      <c r="A21" s="1186" t="s">
        <v>2152</v>
      </c>
      <c r="B21" s="1186" t="s">
        <v>2153</v>
      </c>
      <c r="C21" s="1186" t="s">
        <v>2154</v>
      </c>
      <c r="D21" s="1186" t="s">
        <v>2155</v>
      </c>
      <c r="E21" s="1186"/>
      <c r="F21" s="608"/>
      <c r="G21" s="608"/>
      <c r="H21" s="608"/>
      <c r="I21" s="279"/>
      <c r="J21" s="277"/>
      <c r="K21" s="278"/>
      <c r="L21" s="1212" t="e">
        <f>INDEX(PT_DIFFERENTIATION_NUM_CS,MATCH(C19,PT_DIFFERENTIATION_CS_ID,0))</f>
        <v>#N/A</v>
      </c>
      <c r="M21" s="229" t="s">
        <v>390</v>
      </c>
      <c r="N21" s="218"/>
      <c r="O21" s="2524" t="e">
        <f>INDEX(PT_DIFFERENTIATION_CS,MATCH(C19,PT_DIFFERENTIATION_CS_ID,0))</f>
        <v>#N/A</v>
      </c>
      <c r="P21" s="2524"/>
      <c r="Q21" s="2524"/>
      <c r="R21" s="2524"/>
      <c r="S21" s="2524"/>
      <c r="T21" s="2524"/>
      <c r="U21" s="2524"/>
      <c r="V21" s="2524"/>
      <c r="W21" s="2524"/>
      <c r="X21" s="1177" t="s">
        <v>391</v>
      </c>
      <c r="Z21" s="426"/>
      <c r="AA21" s="426" t="str">
        <f t="shared" si="0"/>
        <v xml:space="preserve">Наименование системы теплоснабжения </v>
      </c>
      <c r="AB21" s="426"/>
      <c r="AC21" s="426"/>
    </row>
    <row r="22" spans="1:29" ht="21" customHeight="1">
      <c r="A22" s="1186" t="s">
        <v>2152</v>
      </c>
      <c r="B22" s="1186" t="s">
        <v>2153</v>
      </c>
      <c r="C22" s="1186" t="s">
        <v>2154</v>
      </c>
      <c r="D22" s="1186" t="s">
        <v>2155</v>
      </c>
      <c r="E22" s="1186"/>
      <c r="F22" s="608"/>
      <c r="G22" s="608"/>
      <c r="H22" s="608"/>
      <c r="I22" s="279"/>
      <c r="J22" s="277"/>
      <c r="K22" s="278"/>
      <c r="L22" s="1212" t="e">
        <f>INDEX(PT_DIFFERENTIATION_NUM_IST_TE,MATCH(D19,PT_DIFFERENTIATION_IST_TE_ID,0))</f>
        <v>#N/A</v>
      </c>
      <c r="M22" s="230" t="s">
        <v>392</v>
      </c>
      <c r="N22" s="218"/>
      <c r="O22" s="2524" t="e">
        <f>INDEX(PT_DIFFERENTIATION_IST_TE,MATCH(D19,PT_DIFFERENTIATION_IST_TE_ID,0))</f>
        <v>#N/A</v>
      </c>
      <c r="P22" s="2524"/>
      <c r="Q22" s="2524"/>
      <c r="R22" s="2524"/>
      <c r="S22" s="2524"/>
      <c r="T22" s="2524"/>
      <c r="U22" s="2524"/>
      <c r="V22" s="2524"/>
      <c r="W22" s="2524"/>
      <c r="X22" s="1177" t="s">
        <v>393</v>
      </c>
      <c r="Z22" s="426"/>
      <c r="AA22" s="426" t="str">
        <f t="shared" si="0"/>
        <v xml:space="preserve">Источник тепловой энергии  </v>
      </c>
      <c r="AB22" s="426"/>
      <c r="AC22" s="426"/>
    </row>
    <row r="23" spans="1:29" ht="94.5" customHeight="1">
      <c r="A23" s="1186" t="s">
        <v>2152</v>
      </c>
      <c r="B23" s="1186" t="s">
        <v>2153</v>
      </c>
      <c r="C23" s="1186" t="s">
        <v>2154</v>
      </c>
      <c r="D23" s="1186" t="s">
        <v>2155</v>
      </c>
      <c r="E23" s="1186"/>
      <c r="F23" s="2118" t="e">
        <f>L22&amp;".1"</f>
        <v>#N/A</v>
      </c>
      <c r="I23" s="2269">
        <v>1</v>
      </c>
      <c r="J23" s="1210"/>
      <c r="K23" s="281"/>
      <c r="L23" s="1212" t="e">
        <f>$F$23</f>
        <v>#N/A</v>
      </c>
      <c r="M23" s="203" t="s">
        <v>395</v>
      </c>
      <c r="N23" s="218"/>
      <c r="O23" s="2525"/>
      <c r="P23" s="2525"/>
      <c r="Q23" s="2525"/>
      <c r="R23" s="2525"/>
      <c r="S23" s="2525"/>
      <c r="T23" s="2525"/>
      <c r="U23" s="2525"/>
      <c r="V23" s="2525"/>
      <c r="W23" s="2525"/>
      <c r="X23" s="1177" t="s">
        <v>396</v>
      </c>
      <c r="Z23" s="426"/>
      <c r="AA23" s="426" t="str">
        <f t="shared" si="0"/>
        <v>Схема подключения теплопотребляющей установки к коллектору источника тепловой энергии</v>
      </c>
      <c r="AB23" s="426"/>
      <c r="AC23" s="426"/>
    </row>
    <row r="24" spans="1:29" ht="84" customHeight="1">
      <c r="A24" s="1186" t="s">
        <v>2152</v>
      </c>
      <c r="B24" s="1186" t="s">
        <v>2153</v>
      </c>
      <c r="C24" s="1186" t="s">
        <v>2154</v>
      </c>
      <c r="D24" s="1186" t="s">
        <v>2155</v>
      </c>
      <c r="E24" s="1186"/>
      <c r="F24" s="2118"/>
      <c r="G24" s="2118" t="e">
        <f>F23&amp;".1"</f>
        <v>#N/A</v>
      </c>
      <c r="I24" s="2269"/>
      <c r="J24" s="2269">
        <v>1</v>
      </c>
      <c r="K24" s="282"/>
      <c r="L24" s="1212" t="e">
        <f>$G$24</f>
        <v>#N/A</v>
      </c>
      <c r="M24" s="204" t="s">
        <v>398</v>
      </c>
      <c r="N24" s="218"/>
      <c r="O24" s="2526"/>
      <c r="P24" s="2527"/>
      <c r="Q24" s="2527"/>
      <c r="R24" s="2527"/>
      <c r="S24" s="2527"/>
      <c r="T24" s="2527"/>
      <c r="U24" s="2527"/>
      <c r="V24" s="2527"/>
      <c r="W24" s="2528"/>
      <c r="X24" s="1177" t="s">
        <v>399</v>
      </c>
      <c r="Z24" s="426"/>
      <c r="AA24" s="426" t="str">
        <f t="shared" si="0"/>
        <v>Группа потребителей</v>
      </c>
      <c r="AB24" s="426"/>
      <c r="AC24" s="426"/>
    </row>
    <row r="25" spans="1:29" ht="11.25" customHeight="1">
      <c r="A25" s="1186" t="s">
        <v>2152</v>
      </c>
      <c r="B25" s="1186" t="s">
        <v>2153</v>
      </c>
      <c r="C25" s="1186" t="s">
        <v>2154</v>
      </c>
      <c r="D25" s="1186" t="s">
        <v>2155</v>
      </c>
      <c r="E25" s="1186"/>
      <c r="F25" s="2118"/>
      <c r="G25" s="2118"/>
      <c r="H25" s="2118" t="e">
        <f>G24&amp;".1"</f>
        <v>#N/A</v>
      </c>
      <c r="I25" s="2269"/>
      <c r="J25" s="2269"/>
      <c r="K25" s="282">
        <v>1</v>
      </c>
      <c r="L25" s="1212" t="e">
        <f>$H$25</f>
        <v>#N/A</v>
      </c>
      <c r="M25" s="1178"/>
      <c r="N25" s="218"/>
      <c r="O25" s="668"/>
      <c r="P25" s="250"/>
      <c r="Q25" s="668"/>
      <c r="R25" s="1176"/>
      <c r="S25" s="2273"/>
      <c r="T25" s="2124" t="s">
        <v>61</v>
      </c>
      <c r="U25" s="2273"/>
      <c r="V25" s="2124" t="s">
        <v>56</v>
      </c>
      <c r="W25" s="250"/>
      <c r="X25" s="2265" t="s">
        <v>401</v>
      </c>
      <c r="Y25" s="437" t="e">
        <f ca="1">STRCHECKDATE(O26:W26)</f>
        <v>#NAME?</v>
      </c>
      <c r="Z25" s="426"/>
      <c r="AA25" s="426" t="str">
        <f t="shared" si="0"/>
        <v/>
      </c>
      <c r="AB25" s="426"/>
      <c r="AC25" s="426"/>
    </row>
    <row r="26" spans="1:29" ht="11.25" customHeight="1">
      <c r="A26" s="1186" t="s">
        <v>2152</v>
      </c>
      <c r="B26" s="1186" t="s">
        <v>2153</v>
      </c>
      <c r="C26" s="1186" t="s">
        <v>2154</v>
      </c>
      <c r="D26" s="1186" t="s">
        <v>2155</v>
      </c>
      <c r="E26" s="1186"/>
      <c r="F26" s="2118"/>
      <c r="G26" s="2118"/>
      <c r="H26" s="2118"/>
      <c r="I26" s="2269"/>
      <c r="J26" s="2269"/>
      <c r="K26" s="282"/>
      <c r="L26" s="1213"/>
      <c r="M26" s="218"/>
      <c r="N26" s="218"/>
      <c r="O26" s="250"/>
      <c r="P26" s="250"/>
      <c r="Q26" s="250"/>
      <c r="R26" s="254" t="str">
        <f>S25&amp;"-"&amp;U25</f>
        <v>-</v>
      </c>
      <c r="S26" s="2274"/>
      <c r="T26" s="2124"/>
      <c r="U26" s="2274"/>
      <c r="V26" s="2124"/>
      <c r="W26" s="250"/>
      <c r="X26" s="2266"/>
      <c r="Z26" s="426"/>
      <c r="AA26" s="426" t="str">
        <f t="shared" si="0"/>
        <v/>
      </c>
      <c r="AB26" s="426"/>
      <c r="AC26" s="426"/>
    </row>
    <row r="27" spans="1:29" ht="15" customHeight="1">
      <c r="A27" s="1186" t="s">
        <v>2152</v>
      </c>
      <c r="B27" s="1186" t="s">
        <v>2153</v>
      </c>
      <c r="C27" s="1186" t="s">
        <v>2154</v>
      </c>
      <c r="D27" s="1186" t="s">
        <v>2155</v>
      </c>
      <c r="E27" s="1186"/>
      <c r="F27" s="2118"/>
      <c r="G27" s="2118"/>
      <c r="I27" s="2269"/>
      <c r="J27" s="2269"/>
      <c r="K27" s="281"/>
      <c r="L27" s="1198"/>
      <c r="M27" s="206" t="s">
        <v>402</v>
      </c>
      <c r="N27" s="295"/>
      <c r="O27" s="295"/>
      <c r="P27" s="295"/>
      <c r="Q27" s="295"/>
      <c r="R27" s="295"/>
      <c r="S27" s="295"/>
      <c r="T27" s="295"/>
      <c r="U27" s="295"/>
      <c r="V27" s="295"/>
      <c r="W27" s="249"/>
      <c r="X27" s="2267"/>
      <c r="Z27" s="426"/>
      <c r="AA27" s="426" t="str">
        <f t="shared" si="0"/>
        <v>Добавить вид теплоносителя (параметры теплоносителя)</v>
      </c>
      <c r="AB27" s="426"/>
      <c r="AC27" s="426"/>
    </row>
    <row r="28" spans="1:29" ht="15" customHeight="1">
      <c r="A28" s="1186" t="s">
        <v>2152</v>
      </c>
      <c r="B28" s="1186" t="s">
        <v>2153</v>
      </c>
      <c r="C28" s="1186" t="s">
        <v>2154</v>
      </c>
      <c r="D28" s="1186" t="s">
        <v>2155</v>
      </c>
      <c r="E28" s="1186"/>
      <c r="F28" s="2118"/>
      <c r="I28" s="2269"/>
      <c r="J28" s="1210"/>
      <c r="K28" s="281"/>
      <c r="L28" s="1198"/>
      <c r="M28" s="205" t="s">
        <v>403</v>
      </c>
      <c r="N28" s="295"/>
      <c r="O28" s="295"/>
      <c r="P28" s="295"/>
      <c r="Q28" s="295"/>
      <c r="R28" s="295"/>
      <c r="S28" s="295"/>
      <c r="T28" s="295"/>
      <c r="U28" s="295"/>
      <c r="V28" s="294"/>
      <c r="W28" s="295"/>
      <c r="X28" s="221"/>
      <c r="Z28" s="426"/>
      <c r="AA28" s="426" t="str">
        <f t="shared" si="0"/>
        <v>Добавить группу потребителей</v>
      </c>
      <c r="AB28" s="426"/>
      <c r="AC28" s="426"/>
    </row>
    <row r="29" spans="1:29" ht="14.25" customHeight="1">
      <c r="A29" s="1186" t="s">
        <v>2152</v>
      </c>
      <c r="B29" s="1186" t="s">
        <v>2153</v>
      </c>
      <c r="C29" s="1186" t="s">
        <v>2154</v>
      </c>
      <c r="D29" s="1186" t="s">
        <v>2155</v>
      </c>
      <c r="E29" s="1186"/>
      <c r="F29" s="608"/>
      <c r="G29" s="608"/>
      <c r="H29" s="435"/>
      <c r="I29" s="285"/>
      <c r="J29" s="304"/>
      <c r="K29" s="280"/>
      <c r="L29" s="1198"/>
      <c r="M29" s="292" t="s">
        <v>404</v>
      </c>
      <c r="N29" s="295"/>
      <c r="O29" s="295"/>
      <c r="P29" s="295"/>
      <c r="Q29" s="295"/>
      <c r="R29" s="295"/>
      <c r="S29" s="295"/>
      <c r="T29" s="295"/>
      <c r="U29" s="295"/>
      <c r="V29" s="294"/>
      <c r="W29" s="295"/>
      <c r="X29" s="221"/>
      <c r="Z29" s="426"/>
      <c r="AA29" s="426" t="str">
        <f t="shared" si="0"/>
        <v>Добавить схему подключения</v>
      </c>
      <c r="AB29" s="426"/>
      <c r="AC29" s="426"/>
    </row>
    <row r="30" spans="1:29" ht="14.25" customHeight="1">
      <c r="A30" s="1186" t="s">
        <v>2152</v>
      </c>
      <c r="B30" s="1186" t="s">
        <v>2153</v>
      </c>
      <c r="C30" s="1186" t="s">
        <v>2154</v>
      </c>
      <c r="D30" s="1186"/>
      <c r="E30" s="1186" t="s">
        <v>570</v>
      </c>
      <c r="F30" s="608"/>
      <c r="G30" s="608"/>
      <c r="H30" s="435"/>
      <c r="I30" s="285"/>
      <c r="J30" s="304"/>
      <c r="K30" s="280"/>
      <c r="L30" s="1199"/>
      <c r="M30" s="1188"/>
      <c r="N30" s="1189"/>
      <c r="O30" s="1189"/>
      <c r="P30" s="1189"/>
      <c r="Q30" s="1189"/>
      <c r="R30" s="1189"/>
      <c r="S30" s="1189"/>
      <c r="T30" s="1189"/>
      <c r="U30" s="1189"/>
      <c r="V30" s="1190"/>
      <c r="W30" s="1189"/>
      <c r="X30" s="1191"/>
      <c r="Z30" s="426"/>
      <c r="AA30" s="426" t="str">
        <f t="shared" si="0"/>
        <v/>
      </c>
      <c r="AB30" s="426"/>
      <c r="AC30" s="426"/>
    </row>
    <row r="31" spans="1:29" ht="14.25" customHeight="1">
      <c r="A31" s="1186" t="s">
        <v>2152</v>
      </c>
      <c r="B31" s="1186" t="s">
        <v>2153</v>
      </c>
      <c r="C31" s="1186"/>
      <c r="D31" s="1186"/>
      <c r="E31" s="1186" t="s">
        <v>2143</v>
      </c>
      <c r="F31" s="1174"/>
      <c r="G31" s="1174"/>
      <c r="H31" s="435"/>
      <c r="I31" s="283"/>
      <c r="J31" s="304"/>
      <c r="K31" s="284"/>
      <c r="L31" s="1199"/>
      <c r="M31" s="1192"/>
      <c r="N31" s="1189"/>
      <c r="O31" s="1189"/>
      <c r="P31" s="1189"/>
      <c r="Q31" s="1189"/>
      <c r="R31" s="1189"/>
      <c r="S31" s="1189"/>
      <c r="T31" s="1189"/>
      <c r="U31" s="1189"/>
      <c r="V31" s="1190"/>
      <c r="W31" s="1189"/>
      <c r="X31" s="1191"/>
      <c r="Z31" s="426"/>
      <c r="AA31" s="426" t="str">
        <f t="shared" si="0"/>
        <v/>
      </c>
      <c r="AB31" s="426"/>
      <c r="AC31" s="426"/>
    </row>
    <row r="32" spans="1:29" ht="14.25" customHeight="1">
      <c r="A32" s="1186" t="s">
        <v>2156</v>
      </c>
      <c r="B32" s="1186"/>
      <c r="C32" s="1186"/>
      <c r="D32" s="1186"/>
      <c r="E32" s="1186" t="s">
        <v>103</v>
      </c>
      <c r="F32" s="1174"/>
      <c r="G32" s="1174"/>
      <c r="H32" s="435"/>
      <c r="I32" s="285"/>
      <c r="J32" s="304"/>
      <c r="K32" s="280"/>
      <c r="L32" s="1199"/>
      <c r="M32" s="1193"/>
      <c r="N32" s="1189"/>
      <c r="O32" s="1189"/>
      <c r="P32" s="1189"/>
      <c r="Q32" s="1189"/>
      <c r="R32" s="1189"/>
      <c r="S32" s="1189"/>
      <c r="T32" s="1189"/>
      <c r="U32" s="1189"/>
      <c r="V32" s="1190"/>
      <c r="W32" s="1189"/>
      <c r="X32" s="1191"/>
      <c r="Z32" s="426"/>
      <c r="AA32" s="426" t="str">
        <f t="shared" si="0"/>
        <v/>
      </c>
      <c r="AB32" s="426"/>
      <c r="AC32" s="426"/>
    </row>
    <row r="33" spans="1:29" s="2067" customFormat="1" ht="11.25" customHeight="1">
      <c r="A33" s="1186"/>
      <c r="B33" s="1186"/>
      <c r="C33" s="1186"/>
      <c r="D33" s="1186"/>
      <c r="E33" s="1186" t="s">
        <v>217</v>
      </c>
      <c r="F33" s="1187"/>
      <c r="G33" s="1175"/>
      <c r="H33" s="435"/>
      <c r="L33" s="1200"/>
      <c r="M33" s="1194"/>
      <c r="N33" s="1189"/>
      <c r="O33" s="1189"/>
      <c r="P33" s="1189"/>
      <c r="Q33" s="1189"/>
      <c r="R33" s="1189"/>
      <c r="S33" s="1189"/>
      <c r="T33" s="1189"/>
      <c r="U33" s="1189"/>
      <c r="V33" s="1190"/>
      <c r="W33" s="1189"/>
      <c r="X33" s="1191"/>
      <c r="Y33" s="311"/>
      <c r="Z33" s="311"/>
      <c r="AA33" s="311"/>
      <c r="AB33" s="311"/>
      <c r="AC33" s="311"/>
    </row>
    <row r="34" spans="1:29" ht="11.25" customHeight="1">
      <c r="F34" s="1055"/>
      <c r="G34" s="1055"/>
      <c r="H34" s="435"/>
      <c r="I34" s="1055"/>
      <c r="J34" s="1055"/>
      <c r="K34" s="1055"/>
      <c r="Y34" s="1055"/>
      <c r="Z34" s="1055"/>
      <c r="AA34" s="1055"/>
      <c r="AB34" s="1055"/>
      <c r="AC34" s="1055"/>
    </row>
    <row r="35" spans="1:29" ht="27" customHeight="1">
      <c r="H35" s="435"/>
      <c r="L35" s="1207" t="s">
        <v>702</v>
      </c>
      <c r="M35" s="2290" t="s">
        <v>2145</v>
      </c>
      <c r="N35" s="2290"/>
      <c r="O35" s="2290"/>
      <c r="P35" s="2290"/>
      <c r="Q35" s="2290"/>
      <c r="R35" s="2290"/>
      <c r="S35" s="2290"/>
      <c r="T35" s="2290"/>
      <c r="U35" s="2290"/>
      <c r="V35" s="2290"/>
      <c r="W35" s="2290"/>
      <c r="X35" s="2290"/>
    </row>
    <row r="36" spans="1:29" ht="104.25" customHeight="1">
      <c r="F36" s="1222"/>
      <c r="G36" s="1222"/>
      <c r="H36" s="435"/>
      <c r="I36" s="1222"/>
      <c r="M36" s="2290" t="s">
        <v>2146</v>
      </c>
      <c r="N36" s="2290"/>
      <c r="O36" s="2290"/>
      <c r="P36" s="2290"/>
      <c r="Q36" s="2290"/>
      <c r="R36" s="2290"/>
      <c r="S36" s="2290"/>
      <c r="T36" s="2290"/>
      <c r="U36" s="2290"/>
      <c r="V36" s="2290"/>
      <c r="W36" s="2290"/>
      <c r="X36" s="2290"/>
    </row>
    <row r="37" spans="1:29" ht="14.25" customHeight="1">
      <c r="H37" s="435"/>
    </row>
    <row r="38" spans="1:29" ht="14.25" customHeight="1">
      <c r="H38" s="435"/>
    </row>
    <row r="39" spans="1:29" ht="14.25" customHeight="1">
      <c r="H39" s="435"/>
    </row>
    <row r="40" spans="1:29" ht="14.25" customHeight="1">
      <c r="H40" s="435"/>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B00-000000000000}"/>
    <dataValidation allowBlank="1" promptTitle="checkPeriodRange" sqref="R26 R65562 R131098 R196634 R262170 R327706 R393242 R458778 R524314 R589850 R655386 R720922 R786458 R851994 R917530 R983066" xr:uid="{00000000-0002-0000-3B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B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B00-000004000000}">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B00-000005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B00-000006000000}">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B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150CC-6A69-887D-E8AD-307030918AA9}">
  <sheetPr>
    <tabColor theme="6" tint="0.39997558519241921"/>
  </sheetPr>
  <dimension ref="A1:AC32"/>
  <sheetViews>
    <sheetView showGridLines="0" topLeftCell="A4" workbookViewId="0"/>
  </sheetViews>
  <sheetFormatPr defaultColWidth="10.5703125" defaultRowHeight="14.25" customHeight="1"/>
  <cols>
    <col min="1" max="6" width="10.5703125" style="1820"/>
    <col min="7" max="8" width="9.140625" style="1942" customWidth="1"/>
    <col min="9" max="9" width="3.7109375" style="1938" customWidth="1"/>
    <col min="10" max="11" width="3.7109375" style="1939" customWidth="1"/>
    <col min="12" max="12" width="12.7109375" style="1905" customWidth="1"/>
    <col min="13" max="13" width="47.42578125" style="1905" customWidth="1"/>
    <col min="14" max="14" width="2.7109375" style="1905" hidden="1" customWidth="1"/>
    <col min="15" max="18" width="23.7109375" style="1905" customWidth="1"/>
    <col min="19" max="19" width="11.7109375" style="1905" customWidth="1"/>
    <col min="20" max="20" width="3.7109375" style="1905" customWidth="1"/>
    <col min="21" max="21" width="11.7109375" style="1905" customWidth="1"/>
    <col min="22" max="22" width="8.5703125" style="1905" hidden="1" customWidth="1"/>
    <col min="23" max="23" width="4.7109375" style="1905" customWidth="1"/>
    <col min="24" max="24" width="115.7109375" style="1905" customWidth="1"/>
    <col min="25" max="29" width="10.5703125" style="1820"/>
  </cols>
  <sheetData>
    <row r="1" spans="1:29" ht="14.25" hidden="1" customHeight="1"/>
    <row r="2" spans="1:29" ht="14.25" hidden="1" customHeight="1"/>
    <row r="3" spans="1:29" ht="14.25" hidden="1" customHeight="1"/>
    <row r="4" spans="1:29" ht="14.25" customHeight="1">
      <c r="J4" s="305"/>
      <c r="K4" s="305"/>
      <c r="L4" s="290"/>
      <c r="M4" s="290"/>
      <c r="N4" s="290"/>
      <c r="O4" s="435"/>
      <c r="P4" s="435"/>
      <c r="Q4" s="435"/>
      <c r="R4" s="435"/>
      <c r="S4" s="435"/>
      <c r="T4" s="435"/>
      <c r="U4" s="435"/>
      <c r="V4" s="290"/>
    </row>
    <row r="5" spans="1:29" ht="14.25" customHeight="1">
      <c r="J5" s="305"/>
      <c r="K5" s="305"/>
      <c r="L5" s="2529" t="s">
        <v>2157</v>
      </c>
      <c r="M5" s="2529"/>
      <c r="N5" s="2529"/>
      <c r="O5" s="2529"/>
      <c r="P5" s="2529"/>
      <c r="Q5" s="2529"/>
      <c r="R5" s="2529"/>
      <c r="S5" s="2529"/>
      <c r="T5" s="2529"/>
      <c r="U5" s="195"/>
      <c r="V5" s="195"/>
    </row>
    <row r="6" spans="1:29" ht="14.25" customHeight="1">
      <c r="J6" s="305"/>
      <c r="K6" s="305"/>
      <c r="L6" s="290"/>
      <c r="M6" s="290"/>
      <c r="N6" s="290"/>
      <c r="O6" s="246"/>
      <c r="P6" s="246"/>
      <c r="Q6" s="246"/>
      <c r="R6" s="246"/>
      <c r="S6" s="246"/>
      <c r="T6" s="246"/>
      <c r="U6" s="290"/>
    </row>
    <row r="7" spans="1:29" s="1936" customFormat="1" ht="22.5" customHeight="1">
      <c r="A7" s="296"/>
      <c r="B7" s="296"/>
      <c r="C7" s="296"/>
      <c r="D7" s="296"/>
      <c r="E7" s="296"/>
      <c r="F7" s="296"/>
      <c r="G7" s="296"/>
      <c r="H7" s="296"/>
      <c r="L7" s="196"/>
      <c r="M7" s="213" t="s">
        <v>38</v>
      </c>
      <c r="N7" s="222"/>
      <c r="O7" s="2530" t="e">
        <f>IF(NameOrPr_ch="",IF(NameOrPr="","",NameOrPr),NameOrPr_ch)</f>
        <v>#NAME?</v>
      </c>
      <c r="P7" s="2531"/>
      <c r="Q7" s="2531"/>
      <c r="R7" s="2531"/>
      <c r="S7" s="2531"/>
      <c r="T7" s="2532"/>
      <c r="U7" s="1157"/>
      <c r="Y7" s="296"/>
      <c r="Z7" s="296"/>
      <c r="AA7" s="296"/>
      <c r="AB7" s="296"/>
      <c r="AC7" s="296"/>
    </row>
    <row r="8" spans="1:29" s="1936" customFormat="1" ht="18.75" customHeight="1">
      <c r="A8" s="296"/>
      <c r="B8" s="296"/>
      <c r="C8" s="296"/>
      <c r="D8" s="296"/>
      <c r="E8" s="296"/>
      <c r="F8" s="296"/>
      <c r="G8" s="296"/>
      <c r="H8" s="296"/>
      <c r="L8" s="196"/>
      <c r="M8" s="213" t="s">
        <v>412</v>
      </c>
      <c r="N8" s="222"/>
      <c r="O8" s="2530" t="e">
        <f>IF(datePr_ch="",IF(datePr="","",datePr),datePr_ch)</f>
        <v>#NAME?</v>
      </c>
      <c r="P8" s="2531"/>
      <c r="Q8" s="2531"/>
      <c r="R8" s="2531"/>
      <c r="S8" s="2531"/>
      <c r="T8" s="2532"/>
      <c r="U8" s="1157"/>
      <c r="Y8" s="296"/>
      <c r="Z8" s="296"/>
      <c r="AA8" s="296"/>
      <c r="AB8" s="296"/>
      <c r="AC8" s="296"/>
    </row>
    <row r="9" spans="1:29" s="1936" customFormat="1" ht="18.75" customHeight="1">
      <c r="A9" s="296"/>
      <c r="B9" s="296"/>
      <c r="C9" s="296"/>
      <c r="D9" s="296"/>
      <c r="E9" s="296"/>
      <c r="F9" s="296"/>
      <c r="G9" s="296"/>
      <c r="H9" s="296"/>
      <c r="L9" s="248"/>
      <c r="M9" s="213" t="s">
        <v>413</v>
      </c>
      <c r="N9" s="222"/>
      <c r="O9" s="2530" t="e">
        <f>IF(numberPr_ch="",IF(numberPr="","",numberPr),numberPr_ch)</f>
        <v>#NAME?</v>
      </c>
      <c r="P9" s="2531"/>
      <c r="Q9" s="2531"/>
      <c r="R9" s="2531"/>
      <c r="S9" s="2531"/>
      <c r="T9" s="2532"/>
      <c r="U9" s="1157"/>
      <c r="Y9" s="296"/>
      <c r="Z9" s="296"/>
      <c r="AA9" s="296"/>
      <c r="AB9" s="296"/>
      <c r="AC9" s="296"/>
    </row>
    <row r="10" spans="1:29" s="1936" customFormat="1" ht="18.75" customHeight="1">
      <c r="A10" s="296"/>
      <c r="B10" s="296"/>
      <c r="C10" s="296"/>
      <c r="D10" s="296"/>
      <c r="E10" s="296"/>
      <c r="F10" s="296"/>
      <c r="G10" s="296"/>
      <c r="H10" s="296"/>
      <c r="L10" s="248"/>
      <c r="M10" s="213" t="s">
        <v>40</v>
      </c>
      <c r="N10" s="222"/>
      <c r="O10" s="2530" t="e">
        <f>IF(IstPub_ch="",IF(IstPub="","",IstPub),IstPub_ch)</f>
        <v>#NAME?</v>
      </c>
      <c r="P10" s="2531"/>
      <c r="Q10" s="2531"/>
      <c r="R10" s="2531"/>
      <c r="S10" s="2531"/>
      <c r="T10" s="2532"/>
      <c r="U10" s="1157"/>
      <c r="Y10" s="296"/>
      <c r="Z10" s="296"/>
      <c r="AA10" s="296"/>
      <c r="AB10" s="296"/>
      <c r="AC10" s="296"/>
    </row>
    <row r="11" spans="1:29" s="1851" customFormat="1" ht="18.75" hidden="1" customHeight="1">
      <c r="A11" s="1161"/>
      <c r="B11" s="1161"/>
      <c r="C11" s="1161"/>
      <c r="D11" s="1161"/>
      <c r="E11" s="1161"/>
      <c r="F11" s="1161"/>
      <c r="G11" s="1161"/>
      <c r="H11" s="1161"/>
      <c r="L11" s="248"/>
      <c r="M11" s="245"/>
      <c r="O11" s="1162"/>
      <c r="P11" s="1162"/>
      <c r="Q11" s="296" t="s">
        <v>2158</v>
      </c>
      <c r="R11" s="296" t="s">
        <v>2159</v>
      </c>
      <c r="S11" s="1162"/>
      <c r="T11" s="1162"/>
      <c r="U11" s="1157"/>
      <c r="Y11" s="1161"/>
      <c r="Z11" s="1161"/>
      <c r="AA11" s="1161"/>
      <c r="AB11" s="1161"/>
      <c r="AC11" s="1161"/>
    </row>
    <row r="12" spans="1:29" s="1936" customFormat="1" ht="11.25" hidden="1" customHeight="1">
      <c r="A12" s="296"/>
      <c r="B12" s="296"/>
      <c r="C12" s="296"/>
      <c r="D12" s="296"/>
      <c r="E12" s="296"/>
      <c r="F12" s="296"/>
      <c r="G12" s="296"/>
      <c r="H12" s="296"/>
      <c r="L12" s="2523"/>
      <c r="M12" s="2523"/>
      <c r="N12" s="1124"/>
      <c r="O12" s="252"/>
      <c r="P12" s="252"/>
      <c r="Q12" s="252"/>
      <c r="R12" s="252"/>
      <c r="S12" s="252"/>
      <c r="T12" s="252"/>
      <c r="U12" s="1160"/>
      <c r="V12" s="197" t="s">
        <v>416</v>
      </c>
      <c r="Y12" s="296"/>
      <c r="Z12" s="296"/>
      <c r="AA12" s="296"/>
      <c r="AB12" s="296"/>
      <c r="AC12" s="296"/>
    </row>
    <row r="13" spans="1:29" ht="14.25" customHeight="1">
      <c r="J13" s="305"/>
      <c r="K13" s="305"/>
      <c r="L13" s="290"/>
      <c r="M13" s="290"/>
      <c r="N13" s="290"/>
      <c r="O13" s="1163"/>
      <c r="P13" s="1163"/>
      <c r="Q13" s="2533"/>
      <c r="R13" s="2533"/>
      <c r="S13" s="2533"/>
      <c r="T13" s="2533"/>
      <c r="U13" s="2533"/>
      <c r="V13" s="2533"/>
    </row>
    <row r="14" spans="1:29" ht="14.25" customHeight="1">
      <c r="J14" s="305"/>
      <c r="K14" s="305"/>
      <c r="L14" s="2143" t="s">
        <v>289</v>
      </c>
      <c r="M14" s="2143"/>
      <c r="N14" s="2143"/>
      <c r="O14" s="2143"/>
      <c r="P14" s="2143"/>
      <c r="Q14" s="2143"/>
      <c r="R14" s="2143"/>
      <c r="S14" s="2143"/>
      <c r="T14" s="2143"/>
      <c r="U14" s="2143"/>
      <c r="V14" s="2143"/>
      <c r="W14" s="2143"/>
      <c r="X14" s="2143" t="s">
        <v>290</v>
      </c>
    </row>
    <row r="15" spans="1:29" ht="14.25" customHeight="1">
      <c r="J15" s="305"/>
      <c r="K15" s="305"/>
      <c r="L15" s="2229" t="s">
        <v>87</v>
      </c>
      <c r="M15" s="2229" t="s">
        <v>2160</v>
      </c>
      <c r="N15" s="1123"/>
      <c r="O15" s="2229" t="s">
        <v>2161</v>
      </c>
      <c r="P15" s="2228" t="s">
        <v>2162</v>
      </c>
      <c r="Q15" s="2228" t="s">
        <v>2142</v>
      </c>
      <c r="R15" s="2228"/>
      <c r="S15" s="2228"/>
      <c r="T15" s="2228"/>
      <c r="U15" s="2228"/>
      <c r="V15" s="2229" t="s">
        <v>419</v>
      </c>
      <c r="W15" s="2534" t="s">
        <v>1057</v>
      </c>
      <c r="X15" s="2143"/>
    </row>
    <row r="16" spans="1:29" ht="25.5" customHeight="1">
      <c r="J16" s="305"/>
      <c r="K16" s="305"/>
      <c r="L16" s="2229"/>
      <c r="M16" s="2229"/>
      <c r="N16" s="1123"/>
      <c r="O16" s="2229"/>
      <c r="P16" s="2228"/>
      <c r="Q16" s="2228" t="s">
        <v>2163</v>
      </c>
      <c r="R16" s="2228"/>
      <c r="S16" s="2143" t="s">
        <v>437</v>
      </c>
      <c r="T16" s="2143"/>
      <c r="U16" s="2143"/>
      <c r="V16" s="2229"/>
      <c r="W16" s="2534"/>
      <c r="X16" s="2143"/>
    </row>
    <row r="17" spans="1:29" ht="14.25" customHeight="1">
      <c r="J17" s="305"/>
      <c r="K17" s="305"/>
      <c r="L17" s="2229"/>
      <c r="M17" s="2229"/>
      <c r="N17" s="1123"/>
      <c r="O17" s="2229"/>
      <c r="P17" s="2228"/>
      <c r="Q17" s="1123" t="s">
        <v>466</v>
      </c>
      <c r="R17" s="1123" t="s">
        <v>467</v>
      </c>
      <c r="S17" s="1127" t="s">
        <v>435</v>
      </c>
      <c r="T17" s="2171" t="s">
        <v>436</v>
      </c>
      <c r="U17" s="2171"/>
      <c r="V17" s="2229"/>
      <c r="W17" s="2534"/>
      <c r="X17" s="2143"/>
    </row>
    <row r="18" spans="1:29" ht="14.25" customHeight="1">
      <c r="J18" s="305"/>
      <c r="K18" s="209">
        <v>1</v>
      </c>
      <c r="L18" s="380" t="s">
        <v>108</v>
      </c>
      <c r="M18" s="380" t="s">
        <v>109</v>
      </c>
      <c r="N18" s="1159" t="s">
        <v>109</v>
      </c>
      <c r="O18" s="1125">
        <f t="shared" ref="O18:T18" ca="1" si="0">OFFSET(O18,0,-1)+1</f>
        <v>3</v>
      </c>
      <c r="P18" s="1125">
        <f t="shared" ca="1" si="0"/>
        <v>4</v>
      </c>
      <c r="Q18" s="1125">
        <f t="shared" ca="1" si="0"/>
        <v>5</v>
      </c>
      <c r="R18" s="1125">
        <f t="shared" ca="1" si="0"/>
        <v>6</v>
      </c>
      <c r="S18" s="1125">
        <f t="shared" ca="1" si="0"/>
        <v>7</v>
      </c>
      <c r="T18" s="2535">
        <f t="shared" ca="1" si="0"/>
        <v>8</v>
      </c>
      <c r="U18" s="2535"/>
      <c r="V18" s="1125">
        <f ca="1">OFFSET(V18,0,-2)+1</f>
        <v>9</v>
      </c>
      <c r="X18" s="1125">
        <f ca="1">OFFSET(X18,0,-2)+1</f>
        <v>10</v>
      </c>
    </row>
    <row r="19" spans="1:29" ht="22.5" customHeight="1">
      <c r="A19" s="2269">
        <v>1</v>
      </c>
      <c r="B19" s="444"/>
      <c r="C19" s="444"/>
      <c r="D19" s="444"/>
      <c r="E19" s="444"/>
      <c r="F19" s="444"/>
      <c r="G19" s="312"/>
      <c r="H19" s="312"/>
      <c r="I19" s="286"/>
      <c r="J19" s="305"/>
      <c r="K19" s="305"/>
      <c r="L19" s="1132" t="e">
        <f ca="1">MERGEVALUE(A19)</f>
        <v>#NAME?</v>
      </c>
      <c r="M19" s="216" t="s">
        <v>122</v>
      </c>
      <c r="N19" s="235"/>
      <c r="O19" s="2447"/>
      <c r="P19" s="2447"/>
      <c r="Q19" s="2447"/>
      <c r="R19" s="2447"/>
      <c r="S19" s="2447"/>
      <c r="T19" s="2447"/>
      <c r="U19" s="2447"/>
      <c r="V19" s="2447"/>
      <c r="W19" s="2447"/>
      <c r="X19" s="270" t="s">
        <v>387</v>
      </c>
    </row>
    <row r="20" spans="1:29" ht="22.5" customHeight="1">
      <c r="A20" s="2269"/>
      <c r="B20" s="2269">
        <v>1</v>
      </c>
      <c r="C20" s="444"/>
      <c r="D20" s="444"/>
      <c r="E20" s="444"/>
      <c r="F20" s="444"/>
      <c r="G20" s="314"/>
      <c r="H20" s="1126"/>
      <c r="I20" s="288"/>
      <c r="J20" s="1133"/>
      <c r="K20" s="1055"/>
      <c r="L20" s="1132" t="e">
        <f ca="1">MERGEVALUE(A20)&amp;"."&amp;MERGEVALUE(B20)</f>
        <v>#NAME?</v>
      </c>
      <c r="M20" s="228" t="s">
        <v>388</v>
      </c>
      <c r="N20" s="235"/>
      <c r="O20" s="2447"/>
      <c r="P20" s="2447"/>
      <c r="Q20" s="2447"/>
      <c r="R20" s="2447"/>
      <c r="S20" s="2447"/>
      <c r="T20" s="2447"/>
      <c r="U20" s="2447"/>
      <c r="V20" s="2447"/>
      <c r="W20" s="2447"/>
      <c r="X20" s="270" t="s">
        <v>389</v>
      </c>
    </row>
    <row r="21" spans="1:29" ht="22.5" customHeight="1">
      <c r="A21" s="2269"/>
      <c r="B21" s="2269"/>
      <c r="C21" s="2269">
        <v>1</v>
      </c>
      <c r="D21" s="444"/>
      <c r="E21" s="444"/>
      <c r="F21" s="444"/>
      <c r="G21" s="314"/>
      <c r="H21" s="1126"/>
      <c r="I21" s="289"/>
      <c r="J21" s="1133"/>
      <c r="K21" s="1055"/>
      <c r="L21" s="1132" t="e">
        <f ca="1">MERGEVALUE(A21)&amp;"."&amp;MERGEVALUE(B21)&amp;"."&amp;MERGEVALUE(C21)</f>
        <v>#NAME?</v>
      </c>
      <c r="M21" s="229" t="s">
        <v>390</v>
      </c>
      <c r="N21" s="235"/>
      <c r="O21" s="2447"/>
      <c r="P21" s="2447"/>
      <c r="Q21" s="2447"/>
      <c r="R21" s="2447"/>
      <c r="S21" s="2447"/>
      <c r="T21" s="2447"/>
      <c r="U21" s="2447"/>
      <c r="V21" s="2447"/>
      <c r="W21" s="2447"/>
      <c r="X21" s="270" t="s">
        <v>391</v>
      </c>
    </row>
    <row r="22" spans="1:29" ht="14.25" customHeight="1">
      <c r="A22" s="2269"/>
      <c r="B22" s="2269"/>
      <c r="C22" s="2269"/>
      <c r="D22" s="2269">
        <v>1</v>
      </c>
      <c r="E22" s="444"/>
      <c r="F22" s="444"/>
      <c r="G22" s="314"/>
      <c r="H22" s="1126"/>
      <c r="I22" s="289"/>
      <c r="J22" s="287"/>
      <c r="K22" s="1055"/>
      <c r="L22" s="1132" t="e">
        <f ca="1">MERGEVALUE(A22)&amp;"."&amp;MERGEVALUE(B22)&amp;"."&amp;MERGEVALUE(C22)&amp;"."&amp;MERGEVALUE(D22)</f>
        <v>#NAME?</v>
      </c>
      <c r="M22" s="230" t="s">
        <v>392</v>
      </c>
      <c r="N22" s="235"/>
      <c r="O22" s="2447"/>
      <c r="P22" s="2447"/>
      <c r="Q22" s="2447"/>
      <c r="R22" s="2447"/>
      <c r="S22" s="2447"/>
      <c r="T22" s="2447"/>
      <c r="U22" s="2447"/>
      <c r="V22" s="2447"/>
      <c r="W22" s="2447"/>
      <c r="X22" s="263" t="s">
        <v>2164</v>
      </c>
    </row>
    <row r="23" spans="1:29" ht="22.5" customHeight="1">
      <c r="A23" s="2269"/>
      <c r="B23" s="2269"/>
      <c r="C23" s="2269"/>
      <c r="D23" s="2269"/>
      <c r="E23" s="444">
        <v>1</v>
      </c>
      <c r="F23" s="444"/>
      <c r="G23" s="314"/>
      <c r="H23" s="1126"/>
      <c r="I23" s="289"/>
      <c r="J23" s="287"/>
      <c r="K23" s="382"/>
      <c r="L23" s="1132" t="e">
        <f ca="1">MERGEVALUE(A23)&amp;"."&amp;MERGEVALUE(B23)&amp;"."&amp;MERGEVALUE(C23)&amp;"."&amp;MERGEVALUE(D23)&amp;"."&amp;MERGEVALUE(E23)</f>
        <v>#NAME?</v>
      </c>
      <c r="M23" s="307"/>
      <c r="N23" s="1129"/>
      <c r="O23" s="309"/>
      <c r="P23" s="310"/>
      <c r="Q23" s="223"/>
      <c r="R23" s="223"/>
      <c r="S23" s="1644"/>
      <c r="T23" s="1122" t="s">
        <v>56</v>
      </c>
      <c r="U23" s="1165"/>
      <c r="V23" s="1122" t="s">
        <v>56</v>
      </c>
      <c r="W23" s="1166"/>
      <c r="X23" s="2185" t="s">
        <v>2165</v>
      </c>
      <c r="Y23" s="437" t="e">
        <f ca="1">STRCHECKDATETWO(N23:W23)</f>
        <v>#NAME?</v>
      </c>
    </row>
    <row r="24" spans="1:29" ht="14.25" hidden="1" customHeight="1">
      <c r="A24" s="2269"/>
      <c r="B24" s="2269"/>
      <c r="C24" s="2269"/>
      <c r="D24" s="2269"/>
      <c r="E24" s="444"/>
      <c r="F24" s="444"/>
      <c r="G24" s="314"/>
      <c r="H24" s="1126"/>
      <c r="I24" s="289"/>
      <c r="J24" s="287"/>
      <c r="K24" s="382"/>
      <c r="L24" s="1131"/>
      <c r="M24" s="231"/>
      <c r="N24" s="218"/>
      <c r="O24" s="218"/>
      <c r="P24" s="218"/>
      <c r="Q24" s="218"/>
      <c r="R24" s="254" t="str">
        <f>S23&amp;"-"&amp;U23</f>
        <v>-</v>
      </c>
      <c r="S24" s="239"/>
      <c r="T24" s="236"/>
      <c r="U24" s="239"/>
      <c r="V24" s="218"/>
      <c r="W24" s="1167"/>
      <c r="X24" s="2186"/>
    </row>
    <row r="25" spans="1:29" ht="14.25" customHeight="1">
      <c r="A25" s="2269"/>
      <c r="B25" s="2269"/>
      <c r="C25" s="2269"/>
      <c r="D25" s="2269"/>
      <c r="E25" s="444"/>
      <c r="F25" s="444"/>
      <c r="G25" s="314"/>
      <c r="H25" s="1126"/>
      <c r="I25" s="289"/>
      <c r="J25" s="287"/>
      <c r="K25" s="382"/>
      <c r="L25" s="227"/>
      <c r="M25" s="292" t="s">
        <v>455</v>
      </c>
      <c r="N25" s="291"/>
      <c r="O25" s="247"/>
      <c r="P25" s="247"/>
      <c r="Q25" s="247"/>
      <c r="R25" s="247"/>
      <c r="S25" s="251"/>
      <c r="T25" s="295"/>
      <c r="U25" s="294"/>
      <c r="V25" s="291"/>
      <c r="W25" s="291"/>
      <c r="X25" s="2187"/>
    </row>
    <row r="26" spans="1:29" s="2067" customFormat="1" ht="14.25" customHeight="1">
      <c r="A26" s="2269"/>
      <c r="B26" s="2269"/>
      <c r="C26" s="2269"/>
      <c r="D26" s="313"/>
      <c r="E26" s="313"/>
      <c r="F26" s="313"/>
      <c r="G26" s="314"/>
      <c r="H26" s="313"/>
      <c r="I26" s="289"/>
      <c r="J26" s="304"/>
      <c r="K26" s="306"/>
      <c r="L26" s="227"/>
      <c r="M26" s="300" t="s">
        <v>570</v>
      </c>
      <c r="N26" s="291"/>
      <c r="O26" s="247"/>
      <c r="P26" s="247"/>
      <c r="Q26" s="247"/>
      <c r="R26" s="247"/>
      <c r="S26" s="251"/>
      <c r="T26" s="295"/>
      <c r="U26" s="294"/>
      <c r="V26" s="291"/>
      <c r="W26" s="295"/>
      <c r="X26" s="1168"/>
      <c r="Y26" s="311"/>
      <c r="Z26" s="311"/>
      <c r="AA26" s="311"/>
      <c r="AB26" s="311"/>
      <c r="AC26" s="311"/>
    </row>
    <row r="27" spans="1:29" s="2067" customFormat="1" ht="14.25" customHeight="1">
      <c r="A27" s="2269"/>
      <c r="B27" s="2269"/>
      <c r="C27" s="313"/>
      <c r="D27" s="313"/>
      <c r="E27" s="313"/>
      <c r="F27" s="313"/>
      <c r="G27" s="314"/>
      <c r="H27" s="313"/>
      <c r="I27" s="285"/>
      <c r="J27" s="304"/>
      <c r="K27" s="306"/>
      <c r="L27" s="227"/>
      <c r="M27" s="291" t="s">
        <v>2143</v>
      </c>
      <c r="N27" s="291"/>
      <c r="O27" s="247"/>
      <c r="P27" s="247"/>
      <c r="Q27" s="247"/>
      <c r="R27" s="247"/>
      <c r="S27" s="251"/>
      <c r="T27" s="295"/>
      <c r="U27" s="294"/>
      <c r="V27" s="291"/>
      <c r="W27" s="295"/>
      <c r="X27" s="249"/>
      <c r="Y27" s="311"/>
      <c r="Z27" s="311"/>
      <c r="AA27" s="311"/>
      <c r="AB27" s="311"/>
      <c r="AC27" s="311"/>
    </row>
    <row r="28" spans="1:29" s="2067" customFormat="1" ht="14.25" customHeight="1">
      <c r="A28" s="2269"/>
      <c r="B28" s="313"/>
      <c r="C28" s="313"/>
      <c r="D28" s="313"/>
      <c r="E28" s="313"/>
      <c r="F28" s="313"/>
      <c r="G28" s="314"/>
      <c r="H28" s="313"/>
      <c r="I28" s="285"/>
      <c r="J28" s="304"/>
      <c r="K28" s="306"/>
      <c r="L28" s="227"/>
      <c r="M28" s="349" t="s">
        <v>103</v>
      </c>
      <c r="N28" s="291"/>
      <c r="O28" s="247"/>
      <c r="P28" s="247"/>
      <c r="Q28" s="247"/>
      <c r="R28" s="247"/>
      <c r="S28" s="251"/>
      <c r="T28" s="295"/>
      <c r="U28" s="294"/>
      <c r="V28" s="291"/>
      <c r="W28" s="295"/>
      <c r="X28" s="249"/>
      <c r="Y28" s="311"/>
      <c r="Z28" s="311"/>
      <c r="AA28" s="311"/>
      <c r="AB28" s="311"/>
      <c r="AC28" s="311"/>
    </row>
    <row r="29" spans="1:29" s="2067" customFormat="1" ht="14.25" customHeight="1">
      <c r="G29" s="293"/>
      <c r="H29" s="306"/>
      <c r="I29" s="303"/>
      <c r="J29" s="304"/>
      <c r="L29" s="227"/>
      <c r="M29" s="350" t="s">
        <v>217</v>
      </c>
      <c r="N29" s="291"/>
      <c r="O29" s="247"/>
      <c r="P29" s="247"/>
      <c r="Q29" s="247"/>
      <c r="R29" s="247"/>
      <c r="S29" s="251"/>
      <c r="T29" s="295"/>
      <c r="U29" s="294"/>
      <c r="V29" s="291"/>
      <c r="W29" s="295"/>
      <c r="X29" s="249"/>
      <c r="Y29" s="311"/>
      <c r="Z29" s="311"/>
      <c r="AA29" s="311"/>
      <c r="AB29" s="311"/>
      <c r="AC29" s="311"/>
    </row>
    <row r="31" spans="1:29" ht="14.25" customHeight="1">
      <c r="L31" s="2">
        <v>1</v>
      </c>
      <c r="M31" s="2290" t="s">
        <v>2166</v>
      </c>
      <c r="N31" s="2290"/>
      <c r="O31" s="2290"/>
      <c r="P31" s="2290"/>
      <c r="Q31" s="2290"/>
      <c r="R31" s="2290"/>
      <c r="S31" s="2290"/>
      <c r="T31" s="2290"/>
      <c r="U31" s="2290"/>
      <c r="V31" s="2290"/>
      <c r="W31" s="2290"/>
      <c r="X31" s="2290"/>
      <c r="Y31" s="1169"/>
      <c r="Z31" s="297"/>
      <c r="AA31" s="297"/>
      <c r="AB31" s="297"/>
      <c r="AC31" s="297"/>
    </row>
    <row r="32" spans="1:29" ht="14.25" customHeight="1">
      <c r="M32" s="1170"/>
      <c r="N32" s="1170"/>
      <c r="O32" s="1170"/>
      <c r="P32" s="1170"/>
      <c r="Q32" s="1170"/>
      <c r="R32" s="1170"/>
      <c r="S32" s="1170"/>
      <c r="T32" s="1170"/>
      <c r="U32" s="1170"/>
      <c r="V32" s="1170"/>
      <c r="W32" s="1170"/>
      <c r="X32" s="1170"/>
      <c r="Y32" s="436"/>
      <c r="Z32" s="436"/>
      <c r="AA32" s="436"/>
      <c r="AB32" s="436"/>
      <c r="AC32" s="436"/>
    </row>
  </sheetData>
  <sheetProtection formatColumns="0" formatRows="0" insertRows="0" deleteColumns="0" deleteRows="0" sort="0" autoFilter="0"/>
  <mergeCells count="30">
    <mergeCell ref="X23:X25"/>
    <mergeCell ref="M31:X31"/>
    <mergeCell ref="Q16:R16"/>
    <mergeCell ref="S16:U16"/>
    <mergeCell ref="T17:U17"/>
    <mergeCell ref="T18:U18"/>
    <mergeCell ref="A19:A28"/>
    <mergeCell ref="O19:W19"/>
    <mergeCell ref="B20:B27"/>
    <mergeCell ref="O20:W20"/>
    <mergeCell ref="C21:C26"/>
    <mergeCell ref="O21:W21"/>
    <mergeCell ref="D22:D25"/>
    <mergeCell ref="O22:W22"/>
    <mergeCell ref="Q13:V13"/>
    <mergeCell ref="L14:W14"/>
    <mergeCell ref="X14:X17"/>
    <mergeCell ref="L15:L17"/>
    <mergeCell ref="M15:M17"/>
    <mergeCell ref="O15:O17"/>
    <mergeCell ref="P15:P17"/>
    <mergeCell ref="Q15:U15"/>
    <mergeCell ref="V15:V17"/>
    <mergeCell ref="W15:W17"/>
    <mergeCell ref="L12:M12"/>
    <mergeCell ref="L5:T5"/>
    <mergeCell ref="O7:T7"/>
    <mergeCell ref="O8:T8"/>
    <mergeCell ref="O9:T9"/>
    <mergeCell ref="O10:T10"/>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xr:uid="{00000000-0002-0000-3C00-000000000000}"/>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xr:uid="{00000000-0002-0000-3C00-000001000000}">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xr:uid="{00000000-0002-0000-3C00-000002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xr:uid="{00000000-0002-0000-3C00-000003000000}"/>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xr:uid="{00000000-0002-0000-3C00-000004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xr:uid="{00000000-0002-0000-3C00-000005000000}"/>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xr:uid="{00000000-0002-0000-3C00-000006000000}"/>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xr:uid="{00000000-0002-0000-3C00-000007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F44AA-18A7-AFEA-5D61-DBC0303F1A92}">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9AB52-81EC-CE89-044B-CDF4BB08E784}">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FF534-FED5-0579-E4C3-796666C2E4E4}">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39542-426E-1874-792B-A3E9CF68495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384BD-ACAE-E78E-1FAB-811C7F7D5B3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3F097-2A2F-6CF9-2DC8-098E4B10D62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41F81-BE33-D594-A91B-97A453E16509}">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75A4C-E162-62C7-23CC-8D9C7A01D533}">
  <sheetPr>
    <tabColor rgb="FFFFCC99"/>
  </sheetPr>
  <dimension ref="A1"/>
  <sheetViews>
    <sheetView showGridLines="0" workbookViewId="0"/>
  </sheetViews>
  <sheetFormatPr defaultRowHeight="11.25" customHeight="1"/>
  <sheetData>
    <row r="1" spans="1:1" ht="11.25" customHeight="1">
      <c r="A1" s="3"/>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BEFB-1E8B-43EC-11B4-4847C2B76C17}">
  <sheetPr>
    <tabColor theme="3" tint="0.59999389629810485"/>
  </sheetPr>
  <dimension ref="A1:I58"/>
  <sheetViews>
    <sheetView showGridLines="0" topLeftCell="C3" zoomScale="90" workbookViewId="0"/>
  </sheetViews>
  <sheetFormatPr defaultColWidth="9.140625" defaultRowHeight="11.25" customHeight="1"/>
  <cols>
    <col min="1" max="1" width="15" style="1909" hidden="1" customWidth="1"/>
    <col min="2" max="2" width="15" style="1911" hidden="1" customWidth="1"/>
    <col min="3" max="3" width="3.7109375" style="1913" customWidth="1"/>
    <col min="4" max="4" width="6.85546875" style="1914" customWidth="1"/>
    <col min="5" max="5" width="52.28515625" style="1913" customWidth="1"/>
    <col min="6" max="6" width="48.85546875" style="1913" customWidth="1"/>
    <col min="7" max="7" width="121.7109375" style="1913" customWidth="1"/>
    <col min="8" max="8" width="9.140625" style="1913"/>
    <col min="9" max="9" width="65" style="1913" customWidth="1"/>
  </cols>
  <sheetData>
    <row r="1" spans="1:9" ht="11.25" hidden="1" customHeight="1">
      <c r="A1" s="1597" t="s">
        <v>288</v>
      </c>
    </row>
    <row r="2" spans="1:9" ht="11.25" hidden="1" customHeight="1"/>
    <row r="3" spans="1:9" s="1910" customFormat="1" ht="11.25" customHeight="1">
      <c r="A3" s="1597"/>
      <c r="B3" s="427"/>
      <c r="D3" s="404"/>
    </row>
    <row r="4" spans="1:9" ht="25.5" customHeight="1">
      <c r="D4" s="2175" t="str">
        <f>ORG_INFO_NAME_FORM</f>
        <v>Форма 1. Информация об организации, осуществляющей холодное водоснабжение (общая информация)</v>
      </c>
      <c r="E4" s="2176"/>
      <c r="F4" s="2177"/>
      <c r="I4" s="634"/>
    </row>
    <row r="5" spans="1:9" ht="17.25" customHeight="1">
      <c r="D5" s="2200" t="str">
        <f>IF(org=0,"Не определено",org)</f>
        <v>ПАО "Юнипро"</v>
      </c>
      <c r="E5" s="2200"/>
      <c r="F5" s="2200"/>
      <c r="I5" s="634"/>
    </row>
    <row r="6" spans="1:9" s="1910" customFormat="1" ht="11.25" customHeight="1">
      <c r="A6" s="1597"/>
      <c r="B6" s="427"/>
      <c r="D6" s="633"/>
      <c r="E6" s="633"/>
      <c r="F6" s="669"/>
      <c r="G6" s="633"/>
    </row>
    <row r="7" spans="1:9" ht="11.25" hidden="1" customHeight="1">
      <c r="A7" s="385"/>
      <c r="B7" s="428"/>
      <c r="C7" s="385"/>
      <c r="D7" s="390"/>
      <c r="E7" s="2227"/>
      <c r="F7" s="2227"/>
    </row>
    <row r="8" spans="1:9" ht="11.25" customHeight="1">
      <c r="A8" s="385"/>
      <c r="B8" s="428"/>
      <c r="C8" s="385"/>
      <c r="D8" s="2223" t="s">
        <v>289</v>
      </c>
      <c r="E8" s="2224"/>
      <c r="F8" s="2224"/>
      <c r="G8" s="2228" t="s">
        <v>290</v>
      </c>
    </row>
    <row r="9" spans="1:9" ht="11.25" customHeight="1">
      <c r="A9" s="385"/>
      <c r="B9" s="428"/>
      <c r="C9" s="385"/>
      <c r="D9" s="399" t="s">
        <v>87</v>
      </c>
      <c r="E9" s="378" t="s">
        <v>291</v>
      </c>
      <c r="F9" s="378" t="s">
        <v>292</v>
      </c>
      <c r="G9" s="2229"/>
    </row>
    <row r="10" spans="1:9" ht="12" hidden="1" customHeight="1">
      <c r="A10" s="385"/>
      <c r="B10" s="428"/>
      <c r="C10" s="385"/>
      <c r="D10" s="391"/>
      <c r="E10" s="391"/>
      <c r="F10" s="391"/>
      <c r="G10" s="391"/>
    </row>
    <row r="11" spans="1:9" ht="22.5" hidden="1" customHeight="1">
      <c r="A11" s="385"/>
      <c r="B11" s="428"/>
      <c r="C11" s="385"/>
      <c r="D11" s="916" t="s">
        <v>108</v>
      </c>
      <c r="E11" s="919" t="s">
        <v>293</v>
      </c>
      <c r="F11" s="918" t="str">
        <f>IF(region_name="","",region_name)</f>
        <v>Красноярский край</v>
      </c>
      <c r="G11" s="919" t="s">
        <v>294</v>
      </c>
      <c r="H11" s="402"/>
    </row>
    <row r="12" spans="1:9" ht="22.5" hidden="1" customHeight="1">
      <c r="A12" s="385"/>
      <c r="B12" s="428"/>
      <c r="C12" s="385"/>
      <c r="D12" s="377" t="s">
        <v>108</v>
      </c>
      <c r="E12" s="37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5" t="s">
        <v>295</v>
      </c>
      <c r="G12" s="401"/>
      <c r="H12" s="402"/>
    </row>
    <row r="13" spans="1:9" ht="22.5" customHeight="1">
      <c r="A13" s="385"/>
      <c r="B13" s="428"/>
      <c r="C13" s="385"/>
      <c r="D13" s="377" t="s">
        <v>108</v>
      </c>
      <c r="E13" s="374" t="str">
        <f>"Наименование юридического лица"&amp;IF(TEMPLATE_SPHERE="TKO"," (индивидуального предпринимателя)","")</f>
        <v>Наименование юридического лица</v>
      </c>
      <c r="F13" s="373"/>
      <c r="G13" s="37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02"/>
    </row>
    <row r="14" spans="1:9" ht="22.5" hidden="1" customHeight="1">
      <c r="A14" s="385"/>
      <c r="B14" s="428"/>
      <c r="C14" s="385"/>
      <c r="D14" s="916" t="s">
        <v>296</v>
      </c>
      <c r="E14" s="917" t="s">
        <v>297</v>
      </c>
      <c r="F14" s="918" t="str">
        <f>IF(inn="","",inn)</f>
        <v>8602067092</v>
      </c>
      <c r="G14" s="919" t="s">
        <v>298</v>
      </c>
      <c r="H14" s="402"/>
    </row>
    <row r="15" spans="1:9" ht="22.5" hidden="1" customHeight="1">
      <c r="A15" s="385"/>
      <c r="B15" s="428"/>
      <c r="C15" s="385"/>
      <c r="D15" s="916" t="s">
        <v>299</v>
      </c>
      <c r="E15" s="917" t="s">
        <v>300</v>
      </c>
      <c r="F15" s="918" t="str">
        <f>IF(kpp="","",kpp)</f>
        <v>245902002</v>
      </c>
      <c r="G15" s="919" t="s">
        <v>301</v>
      </c>
      <c r="H15" s="402"/>
    </row>
    <row r="16" spans="1:9" ht="36.75" customHeight="1">
      <c r="A16" s="385"/>
      <c r="B16" s="428"/>
      <c r="C16" s="385"/>
      <c r="D16" s="377" t="s">
        <v>109</v>
      </c>
      <c r="E16" s="37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3"/>
      <c r="G16" s="37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02"/>
    </row>
    <row r="17" spans="1:9" ht="22.5" customHeight="1">
      <c r="A17" s="385"/>
      <c r="B17" s="428"/>
      <c r="C17" s="385"/>
      <c r="D17" s="377" t="s">
        <v>89</v>
      </c>
      <c r="E17" s="374" t="str">
        <f>"Дата присвоения ОГРН"&amp;IF(TEMPLATE_SPHERE="TKO",""," (ОГРНИП)")</f>
        <v>Дата присвоения ОГРН (ОГРНИП)</v>
      </c>
      <c r="F17" s="1642" t="s">
        <v>24</v>
      </c>
      <c r="G17" s="376" t="str">
        <f>"Дата присвоения ОГРН"&amp;IF(TEMPLATE_SPHERE="TKO",""," (ОГРНИП)")&amp;" указывается в виде «ДД.ММ.ГГГГ»."</f>
        <v>Дата присвоения ОГРН (ОГРНИП) указывается в виде «ДД.ММ.ГГГГ».</v>
      </c>
      <c r="H17" s="402"/>
    </row>
    <row r="18" spans="1:9" ht="56.25" customHeight="1">
      <c r="A18" s="385"/>
      <c r="B18" s="428"/>
      <c r="C18" s="385"/>
      <c r="D18" s="377" t="s">
        <v>90</v>
      </c>
      <c r="E18" s="37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3"/>
      <c r="G18" s="401"/>
      <c r="H18" s="402"/>
    </row>
    <row r="19" spans="1:9" ht="22.5" hidden="1" customHeight="1">
      <c r="A19" s="2225">
        <v>1</v>
      </c>
      <c r="B19" s="428"/>
      <c r="C19" s="2230"/>
      <c r="D19" s="372">
        <v>5</v>
      </c>
      <c r="E19" s="374" t="s">
        <v>302</v>
      </c>
      <c r="F19" s="375" t="s">
        <v>295</v>
      </c>
      <c r="G19" s="376" t="s">
        <v>303</v>
      </c>
      <c r="H19" s="402"/>
      <c r="I19" s="765"/>
    </row>
    <row r="20" spans="1:9" ht="33.75" hidden="1" customHeight="1">
      <c r="A20" s="2225"/>
      <c r="B20" s="428"/>
      <c r="C20" s="2230"/>
      <c r="D20" s="377" t="s">
        <v>304</v>
      </c>
      <c r="E20" s="371" t="s">
        <v>305</v>
      </c>
      <c r="F20" s="794" t="s">
        <v>24</v>
      </c>
      <c r="G20" s="401"/>
      <c r="H20" s="402"/>
      <c r="I20" s="765"/>
    </row>
    <row r="21" spans="1:9" ht="22.5" hidden="1" customHeight="1">
      <c r="A21" s="2225"/>
      <c r="B21" s="428"/>
      <c r="C21" s="2230"/>
      <c r="D21" s="377" t="s">
        <v>306</v>
      </c>
      <c r="E21" s="371" t="s">
        <v>307</v>
      </c>
      <c r="F21" s="1643" t="s">
        <v>24</v>
      </c>
      <c r="G21" s="376" t="s">
        <v>308</v>
      </c>
      <c r="H21" s="402"/>
      <c r="I21" s="765"/>
    </row>
    <row r="22" spans="1:9" ht="22.5" hidden="1" customHeight="1">
      <c r="A22" s="2225"/>
      <c r="B22" s="428"/>
      <c r="C22" s="2230"/>
      <c r="D22" s="377" t="s">
        <v>309</v>
      </c>
      <c r="E22" s="371" t="s">
        <v>310</v>
      </c>
      <c r="F22" s="794" t="s">
        <v>24</v>
      </c>
      <c r="G22" s="401"/>
      <c r="H22" s="402"/>
      <c r="I22" s="765"/>
    </row>
    <row r="23" spans="1:9" ht="22.5" hidden="1" customHeight="1">
      <c r="A23" s="2225"/>
      <c r="B23" s="428"/>
      <c r="C23" s="2230"/>
      <c r="D23" s="377" t="s">
        <v>311</v>
      </c>
      <c r="E23" s="371" t="s">
        <v>312</v>
      </c>
      <c r="F23" s="794" t="s">
        <v>24</v>
      </c>
      <c r="G23" s="376" t="s">
        <v>313</v>
      </c>
      <c r="H23" s="402"/>
      <c r="I23" s="765"/>
    </row>
    <row r="24" spans="1:9" s="1911" customFormat="1" ht="24.75" hidden="1" customHeight="1">
      <c r="A24" s="385"/>
      <c r="B24" s="428"/>
      <c r="C24" s="428"/>
      <c r="D24" s="913" t="s">
        <v>89</v>
      </c>
      <c r="E24" s="915" t="s">
        <v>314</v>
      </c>
      <c r="F24" s="920" t="s">
        <v>295</v>
      </c>
      <c r="G24" s="915"/>
    </row>
    <row r="25" spans="1:9" s="1911" customFormat="1" ht="11.25" hidden="1" customHeight="1">
      <c r="A25" s="385"/>
      <c r="B25" s="428"/>
      <c r="C25" s="428"/>
      <c r="D25" s="913" t="s">
        <v>315</v>
      </c>
      <c r="E25" s="914" t="s">
        <v>316</v>
      </c>
      <c r="F25" s="920" t="s">
        <v>295</v>
      </c>
      <c r="G25" s="915"/>
    </row>
    <row r="26" spans="1:9" s="1911" customFormat="1" ht="11.25" hidden="1" customHeight="1">
      <c r="A26" s="385"/>
      <c r="B26" s="428"/>
      <c r="C26" s="428"/>
      <c r="D26" s="913" t="s">
        <v>317</v>
      </c>
      <c r="E26" s="921" t="s">
        <v>318</v>
      </c>
      <c r="F26" s="922"/>
      <c r="G26" s="9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r="27" spans="1:9" s="1911" customFormat="1" ht="11.25" hidden="1" customHeight="1">
      <c r="A27" s="385"/>
      <c r="B27" s="428"/>
      <c r="C27" s="428"/>
      <c r="D27" s="913" t="s">
        <v>319</v>
      </c>
      <c r="E27" s="921" t="s">
        <v>320</v>
      </c>
      <c r="F27" s="922"/>
      <c r="G27" s="9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r="28" spans="1:9" s="1911" customFormat="1" ht="11.25" hidden="1" customHeight="1">
      <c r="A28" s="385"/>
      <c r="B28" s="428"/>
      <c r="C28" s="428"/>
      <c r="D28" s="913" t="s">
        <v>321</v>
      </c>
      <c r="E28" s="921" t="s">
        <v>322</v>
      </c>
      <c r="F28" s="922"/>
      <c r="G28" s="9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row>
    <row r="29" spans="1:9" s="1911" customFormat="1" ht="11.25" hidden="1" customHeight="1">
      <c r="A29" s="385"/>
      <c r="B29" s="428"/>
      <c r="C29" s="428"/>
      <c r="D29" s="913" t="s">
        <v>323</v>
      </c>
      <c r="E29" s="914" t="s">
        <v>324</v>
      </c>
      <c r="F29" s="922"/>
      <c r="G29" s="915"/>
    </row>
    <row r="30" spans="1:9" s="1911" customFormat="1" ht="11.25" hidden="1" customHeight="1">
      <c r="A30" s="385"/>
      <c r="B30" s="428"/>
      <c r="C30" s="428"/>
      <c r="D30" s="913" t="s">
        <v>325</v>
      </c>
      <c r="E30" s="914" t="s">
        <v>326</v>
      </c>
      <c r="F30" s="922"/>
      <c r="G30" s="915"/>
    </row>
    <row r="31" spans="1:9" s="1911" customFormat="1" ht="11.25" hidden="1" customHeight="1">
      <c r="A31" s="385"/>
      <c r="B31" s="428"/>
      <c r="C31" s="428"/>
      <c r="D31" s="913" t="s">
        <v>327</v>
      </c>
      <c r="E31" s="914" t="s">
        <v>328</v>
      </c>
      <c r="F31" s="923"/>
      <c r="G31" s="915"/>
    </row>
    <row r="32" spans="1:9" ht="22.5" customHeight="1">
      <c r="A32" s="385" t="str">
        <f>IF(TEMPLATE_SPHERE="HEAT","6","5")</f>
        <v>5</v>
      </c>
      <c r="B32" s="428"/>
      <c r="C32" s="385"/>
      <c r="D32" s="372" t="str">
        <f>A32</f>
        <v>5</v>
      </c>
      <c r="E32" s="37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375" t="s">
        <v>295</v>
      </c>
      <c r="G32" s="401"/>
      <c r="H32" s="402"/>
    </row>
    <row r="33" spans="1:8" ht="22.5" customHeight="1">
      <c r="A33" s="385"/>
      <c r="B33" s="428"/>
      <c r="C33" s="385"/>
      <c r="D33" s="372" t="str">
        <f>D32&amp;".1"</f>
        <v>5.1</v>
      </c>
      <c r="E33" s="374" t="str">
        <f>"фамилия"&amp;IF(TEMPLATE_SPHERE&lt;&gt;"HEAT"," руководителя","")</f>
        <v>фамилия руководителя</v>
      </c>
      <c r="F33" s="373"/>
      <c r="G33" s="37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02"/>
    </row>
    <row r="34" spans="1:8" ht="22.5" customHeight="1">
      <c r="A34" s="385"/>
      <c r="B34" s="428"/>
      <c r="C34" s="385"/>
      <c r="D34" s="372" t="str">
        <f>D32&amp;".2"</f>
        <v>5.2</v>
      </c>
      <c r="E34" s="374" t="str">
        <f>"имя"&amp;IF(TEMPLATE_SPHERE&lt;&gt;"HEAT"," руководителя","")</f>
        <v>имя руководителя</v>
      </c>
      <c r="F34" s="373"/>
      <c r="G34" s="37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02"/>
    </row>
    <row r="35" spans="1:8" ht="22.5" customHeight="1">
      <c r="A35" s="385"/>
      <c r="B35" s="428"/>
      <c r="C35" s="385"/>
      <c r="D35" s="372" t="str">
        <f>D32&amp;".3"</f>
        <v>5.3</v>
      </c>
      <c r="E35" s="374" t="str">
        <f>"отчество"&amp;IF(TEMPLATE_SPHERE&lt;&gt;"HEAT"," руководителя","")</f>
        <v>отчество руководителя</v>
      </c>
      <c r="F35" s="618"/>
      <c r="G35" s="37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02"/>
    </row>
    <row r="36" spans="1:8" ht="33.75" customHeight="1">
      <c r="A36" s="385"/>
      <c r="B36" s="428"/>
      <c r="C36" s="385"/>
      <c r="D36" s="372">
        <f>D32+1</f>
        <v>6</v>
      </c>
      <c r="E36" s="37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373"/>
      <c r="G36" s="376" t="s">
        <v>329</v>
      </c>
      <c r="H36" s="402"/>
    </row>
    <row r="37" spans="1:8" ht="33.75" customHeight="1">
      <c r="A37" s="385"/>
      <c r="B37" s="428"/>
      <c r="C37" s="385"/>
      <c r="D37" s="372">
        <f>D36+1</f>
        <v>7</v>
      </c>
      <c r="E37" s="37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373"/>
      <c r="G37" s="376" t="s">
        <v>329</v>
      </c>
      <c r="H37" s="402"/>
    </row>
    <row r="38" spans="1:8" ht="22.5" customHeight="1">
      <c r="A38" s="385"/>
      <c r="B38" s="428"/>
      <c r="C38" s="385"/>
      <c r="D38" s="372">
        <f>D37+1</f>
        <v>8</v>
      </c>
      <c r="E38" s="36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375" t="s">
        <v>295</v>
      </c>
      <c r="G38" s="223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02"/>
    </row>
    <row r="39" spans="1:8" ht="22.5" hidden="1" customHeight="1">
      <c r="A39" s="385"/>
      <c r="B39" s="428"/>
      <c r="C39" s="385"/>
      <c r="D39" s="372" t="str">
        <f>D38&amp;".0"</f>
        <v>8.0</v>
      </c>
      <c r="E39" s="1522"/>
      <c r="F39" s="794"/>
      <c r="G39" s="2232"/>
      <c r="H39" s="402"/>
    </row>
    <row r="40" spans="1:8" ht="22.5" customHeight="1">
      <c r="A40" s="385"/>
      <c r="B40" s="385"/>
      <c r="C40" s="1599"/>
      <c r="D40" s="372" t="str">
        <f>D38&amp;".1"</f>
        <v>8.1</v>
      </c>
      <c r="E40" s="773"/>
      <c r="F40" s="774"/>
      <c r="G40" s="2232"/>
      <c r="H40" s="402"/>
    </row>
    <row r="41" spans="1:8" ht="15" customHeight="1">
      <c r="A41" s="385"/>
      <c r="B41" s="428"/>
      <c r="C41" s="385"/>
      <c r="D41" s="394"/>
      <c r="E41" s="349" t="s">
        <v>330</v>
      </c>
      <c r="F41" s="396"/>
      <c r="G41" s="2233"/>
      <c r="H41" s="403"/>
    </row>
    <row r="42" spans="1:8" ht="25.5" customHeight="1">
      <c r="A42" s="385"/>
      <c r="B42" s="428"/>
      <c r="C42" s="385"/>
      <c r="D42" s="372">
        <f>D38+1</f>
        <v>9</v>
      </c>
      <c r="E42" s="37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775"/>
      <c r="G42" s="37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02"/>
    </row>
    <row r="43" spans="1:8" ht="22.5" customHeight="1">
      <c r="A43" s="385"/>
      <c r="B43" s="428"/>
      <c r="C43" s="385"/>
      <c r="D43" s="372">
        <f>D42+1</f>
        <v>10</v>
      </c>
      <c r="E43" s="37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09"/>
      <c r="G43" s="401" t="s">
        <v>331</v>
      </c>
      <c r="H43" s="402"/>
    </row>
    <row r="44" spans="1:8" ht="22.5" customHeight="1">
      <c r="A44" s="385"/>
      <c r="B44" s="428"/>
      <c r="C44" s="385"/>
      <c r="D44" s="372">
        <f>D43+1</f>
        <v>11</v>
      </c>
      <c r="E44" s="370" t="s">
        <v>332</v>
      </c>
      <c r="F44" s="375" t="s">
        <v>295</v>
      </c>
      <c r="G44" s="369" t="str">
        <f>IF(TEMPLATE_SPHERE="TKO","Указывается режим работы организации.","")</f>
        <v/>
      </c>
      <c r="H44" s="402"/>
    </row>
    <row r="45" spans="1:8" ht="22.5" customHeight="1">
      <c r="A45" s="385"/>
      <c r="B45" s="428"/>
      <c r="C45" s="385"/>
      <c r="D45" s="372" t="str">
        <f>D44&amp;".1"</f>
        <v>11.1</v>
      </c>
      <c r="E45" s="374" t="str">
        <f>"режим работы регулируемой организации"&amp;IF(TEMPLATE_SPHERE="HEAT",", ЕТО, ТО","")</f>
        <v>режим работы регулируемой организации</v>
      </c>
      <c r="F45" s="1595"/>
      <c r="G45" s="369" t="s">
        <v>333</v>
      </c>
      <c r="H45" s="402"/>
    </row>
    <row r="46" spans="1:8" ht="22.5" customHeight="1">
      <c r="A46" s="2221"/>
      <c r="B46" s="428"/>
      <c r="C46" s="418"/>
      <c r="D46" s="372" t="str">
        <f>D44&amp;".2"</f>
        <v>11.2</v>
      </c>
      <c r="E46" s="374" t="s">
        <v>334</v>
      </c>
      <c r="F46" s="416"/>
      <c r="G46" s="369" t="s">
        <v>335</v>
      </c>
      <c r="H46" s="402"/>
    </row>
    <row r="47" spans="1:8" ht="22.5" customHeight="1">
      <c r="A47" s="2221"/>
      <c r="B47" s="428"/>
      <c r="C47" s="418"/>
      <c r="D47" s="372" t="str">
        <f>D44&amp;".3"</f>
        <v>11.3</v>
      </c>
      <c r="E47" s="374" t="s">
        <v>336</v>
      </c>
      <c r="F47" s="416"/>
      <c r="G47" s="369" t="s">
        <v>337</v>
      </c>
      <c r="H47" s="402"/>
    </row>
    <row r="48" spans="1:8" ht="22.5" customHeight="1">
      <c r="A48" s="2221"/>
      <c r="B48" s="428"/>
      <c r="C48" s="418"/>
      <c r="D48" s="372" t="str">
        <f>IF(TEMPLATE_SPHERE="TKO",D44&amp;".0",D44&amp;".4")</f>
        <v>11.4</v>
      </c>
      <c r="E48" s="368" t="s">
        <v>338</v>
      </c>
      <c r="F48" s="1596"/>
      <c r="G48" s="1671" t="s">
        <v>339</v>
      </c>
      <c r="H48" s="402"/>
    </row>
    <row r="49" spans="1:9" ht="22.5" customHeight="1">
      <c r="A49" s="385"/>
      <c r="B49" s="428"/>
      <c r="C49" s="385"/>
      <c r="D49" s="394"/>
      <c r="E49" s="349" t="s">
        <v>340</v>
      </c>
      <c r="F49" s="395"/>
      <c r="G49" s="1671" t="s">
        <v>341</v>
      </c>
      <c r="H49" s="403"/>
    </row>
    <row r="50" spans="1:9" ht="22.5" customHeight="1">
      <c r="A50" s="771"/>
      <c r="B50" s="428"/>
      <c r="C50" s="418"/>
      <c r="D50" s="372">
        <f>D44+1</f>
        <v>12</v>
      </c>
      <c r="E50" s="454" t="s">
        <v>342</v>
      </c>
      <c r="F50" s="416"/>
      <c r="G50" s="160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402"/>
    </row>
    <row r="51" spans="1:9" ht="11.25" customHeight="1">
      <c r="A51" s="385"/>
      <c r="B51" s="428"/>
      <c r="C51" s="385"/>
    </row>
    <row r="52" spans="1:9" s="1912" customFormat="1" ht="30" customHeight="1">
      <c r="A52" s="1598"/>
      <c r="B52" s="429"/>
      <c r="C52" s="2222"/>
      <c r="D52" s="222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226"/>
      <c r="F52" s="2226"/>
      <c r="G52" s="2226"/>
      <c r="H52" s="384"/>
      <c r="I52" s="384"/>
    </row>
    <row r="53" spans="1:9" s="1912" customFormat="1" ht="39.75" customHeight="1">
      <c r="A53" s="385"/>
      <c r="B53" s="428"/>
      <c r="C53" s="2222"/>
      <c r="D53" s="2226"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3" s="2226"/>
      <c r="F53" s="2226"/>
      <c r="G53" s="2226"/>
    </row>
    <row r="54" spans="1:9" ht="11.25" customHeight="1">
      <c r="D54" s="386"/>
      <c r="E54" s="387"/>
      <c r="F54" s="387"/>
      <c r="G54" s="387"/>
    </row>
    <row r="55" spans="1:9" ht="27" customHeight="1">
      <c r="D55" s="388"/>
      <c r="E55" s="386"/>
      <c r="F55" s="397"/>
      <c r="G55" s="397"/>
    </row>
    <row r="56" spans="1:9" ht="11.25" customHeight="1">
      <c r="D56" s="386"/>
      <c r="E56" s="386"/>
      <c r="F56" s="387"/>
      <c r="G56" s="387"/>
    </row>
    <row r="57" spans="1:9" ht="39" customHeight="1">
      <c r="D57" s="389"/>
      <c r="E57" s="398"/>
      <c r="F57" s="398"/>
      <c r="G57" s="398"/>
    </row>
    <row r="58" spans="1:9" ht="27" customHeight="1">
      <c r="D58" s="389"/>
      <c r="E58" s="398"/>
      <c r="F58" s="398"/>
      <c r="G58" s="398"/>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2:F43 F26:F31 F16 F22:F23 F18 F20 F33:F37 E39:F40"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28023-CC8B-20C3-F0BD-1975A7AA41D3}">
  <dimension ref="A1:E8"/>
  <sheetViews>
    <sheetView showGridLines="0" workbookViewId="0"/>
  </sheetViews>
  <sheetFormatPr defaultRowHeight="11.25" customHeight="1"/>
  <cols>
    <col min="1" max="1" width="10.5703125" customWidth="1"/>
    <col min="2" max="2" width="8.7109375" customWidth="1"/>
    <col min="3" max="3" width="18.140625" customWidth="1"/>
    <col min="4" max="4" width="12.5703125" customWidth="1"/>
  </cols>
  <sheetData>
    <row r="1" spans="1:5" ht="11.25" customHeight="1">
      <c r="A1" s="670" t="s">
        <v>2167</v>
      </c>
      <c r="B1" s="681" t="s">
        <v>2168</v>
      </c>
      <c r="C1" s="2536" t="s">
        <v>2169</v>
      </c>
      <c r="D1" s="2537"/>
      <c r="E1" s="753" t="s">
        <v>2170</v>
      </c>
    </row>
    <row r="2" spans="1:5" ht="11.25" customHeight="1">
      <c r="A2" s="674"/>
      <c r="B2" s="682" t="s">
        <v>22</v>
      </c>
      <c r="C2" s="670"/>
      <c r="D2" s="681"/>
      <c r="E2" s="753"/>
    </row>
    <row r="3" spans="1:5" ht="11.25" customHeight="1">
      <c r="A3" s="685"/>
      <c r="B3" s="683" t="s">
        <v>29</v>
      </c>
      <c r="C3" s="670"/>
      <c r="D3" s="681"/>
      <c r="E3" s="753"/>
    </row>
    <row r="4" spans="1:5" ht="11.25" customHeight="1">
      <c r="A4" s="686"/>
      <c r="B4" s="683" t="s">
        <v>1664</v>
      </c>
      <c r="C4" s="670"/>
      <c r="D4" s="681"/>
      <c r="E4" s="753"/>
    </row>
    <row r="5" spans="1:5" ht="11.25" customHeight="1">
      <c r="A5" s="698"/>
      <c r="B5" s="683" t="s">
        <v>1658</v>
      </c>
      <c r="C5" s="673" t="s">
        <v>1907</v>
      </c>
      <c r="D5" s="793" t="s">
        <v>2171</v>
      </c>
      <c r="E5" s="753"/>
    </row>
    <row r="6" spans="1:5" s="2067" customFormat="1" ht="11.25" customHeight="1">
      <c r="A6" s="684"/>
      <c r="B6" s="683" t="s">
        <v>1668</v>
      </c>
      <c r="C6" s="670"/>
      <c r="D6" s="681"/>
      <c r="E6" s="753"/>
    </row>
    <row r="7" spans="1:5" ht="11.25" customHeight="1">
      <c r="A7" s="672"/>
      <c r="B7" s="683" t="s">
        <v>1676</v>
      </c>
      <c r="C7" s="670"/>
      <c r="D7" s="681"/>
      <c r="E7" s="753"/>
    </row>
    <row r="8" spans="1:5" ht="11.25" customHeight="1">
      <c r="A8" s="673"/>
      <c r="B8" s="683" t="s">
        <v>1671</v>
      </c>
      <c r="C8" s="670"/>
      <c r="D8" s="681"/>
      <c r="E8" s="753"/>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3F811-A8C7-DE47-DFAD-E8B56E21057A}">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28655-3EA9-5049-3711-47F21005571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2EC94-A976-5CCB-8BB7-D9A0F4355AB2}">
  <sheetPr>
    <tabColor rgb="FFFFCC99"/>
  </sheetPr>
  <dimension ref="A1:I1104"/>
  <sheetViews>
    <sheetView showGridLines="0" workbookViewId="0"/>
  </sheetViews>
  <sheetFormatPr defaultColWidth="9.140625" defaultRowHeight="11.25" customHeight="1"/>
  <cols>
    <col min="1" max="2" width="9.140625" style="2090"/>
    <col min="3" max="3" width="20.7109375" style="2090" customWidth="1"/>
    <col min="4" max="4" width="25.140625" style="2090" customWidth="1"/>
    <col min="5" max="9" width="9.140625" style="2090"/>
  </cols>
  <sheetData>
    <row r="1" spans="1:9" ht="11.25" customHeight="1">
      <c r="A1" s="5" t="s">
        <v>2172</v>
      </c>
      <c r="B1" s="5" t="s">
        <v>2173</v>
      </c>
      <c r="C1" s="5" t="s">
        <v>2174</v>
      </c>
      <c r="D1" s="5" t="s">
        <v>2175</v>
      </c>
      <c r="E1" s="5" t="s">
        <v>2176</v>
      </c>
      <c r="F1" s="5" t="s">
        <v>2177</v>
      </c>
      <c r="G1" s="5" t="s">
        <v>2178</v>
      </c>
      <c r="H1" s="5" t="s">
        <v>2179</v>
      </c>
      <c r="I1" s="5" t="s">
        <v>2180</v>
      </c>
    </row>
    <row r="2" spans="1:9" ht="11.25" customHeight="1">
      <c r="A2" s="2091" t="s">
        <v>2181</v>
      </c>
      <c r="B2" s="2091" t="s">
        <v>14</v>
      </c>
      <c r="C2" s="2091" t="s">
        <v>2182</v>
      </c>
      <c r="D2" s="2091" t="s">
        <v>2183</v>
      </c>
      <c r="E2" s="2091" t="s">
        <v>2184</v>
      </c>
      <c r="F2" s="2091" t="s">
        <v>2185</v>
      </c>
      <c r="G2" s="2091" t="s">
        <v>24</v>
      </c>
      <c r="H2" s="2091" t="s">
        <v>24</v>
      </c>
      <c r="I2" s="2091" t="s">
        <v>706</v>
      </c>
    </row>
    <row r="3" spans="1:9" ht="11.25" customHeight="1">
      <c r="A3" s="2091" t="s">
        <v>2181</v>
      </c>
      <c r="B3" s="2091" t="s">
        <v>14</v>
      </c>
      <c r="C3" s="2091" t="s">
        <v>2186</v>
      </c>
      <c r="D3" s="2091" t="s">
        <v>2187</v>
      </c>
      <c r="E3" s="2091" t="s">
        <v>2188</v>
      </c>
      <c r="F3" s="2091" t="s">
        <v>2189</v>
      </c>
      <c r="G3" s="2091" t="s">
        <v>2190</v>
      </c>
      <c r="H3" s="2091" t="s">
        <v>24</v>
      </c>
      <c r="I3" s="2091" t="s">
        <v>706</v>
      </c>
    </row>
    <row r="4" spans="1:9" ht="11.25" customHeight="1">
      <c r="A4" s="2091" t="s">
        <v>2181</v>
      </c>
      <c r="B4" s="2091" t="s">
        <v>14</v>
      </c>
      <c r="C4" s="2091" t="s">
        <v>2191</v>
      </c>
      <c r="D4" s="2091" t="s">
        <v>2192</v>
      </c>
      <c r="E4" s="2091" t="s">
        <v>2193</v>
      </c>
      <c r="F4" s="2091" t="s">
        <v>2194</v>
      </c>
      <c r="G4" s="2091" t="s">
        <v>24</v>
      </c>
      <c r="H4" s="2091" t="s">
        <v>24</v>
      </c>
      <c r="I4" s="2091" t="s">
        <v>706</v>
      </c>
    </row>
    <row r="5" spans="1:9" ht="11.25" customHeight="1">
      <c r="A5" s="2091" t="s">
        <v>2181</v>
      </c>
      <c r="B5" s="2091" t="s">
        <v>14</v>
      </c>
      <c r="C5" s="2091" t="s">
        <v>2195</v>
      </c>
      <c r="D5" s="2091" t="s">
        <v>2196</v>
      </c>
      <c r="E5" s="2091" t="s">
        <v>2197</v>
      </c>
      <c r="F5" s="2091" t="s">
        <v>2198</v>
      </c>
      <c r="G5" s="2091" t="s">
        <v>2199</v>
      </c>
      <c r="H5" s="2091" t="s">
        <v>24</v>
      </c>
      <c r="I5" s="2091" t="s">
        <v>706</v>
      </c>
    </row>
    <row r="6" spans="1:9" ht="11.25" customHeight="1">
      <c r="A6" s="2091" t="s">
        <v>2181</v>
      </c>
      <c r="B6" s="2091" t="s">
        <v>14</v>
      </c>
      <c r="C6" s="2091" t="s">
        <v>2200</v>
      </c>
      <c r="D6" s="2091" t="s">
        <v>2201</v>
      </c>
      <c r="E6" s="2091" t="s">
        <v>2202</v>
      </c>
      <c r="F6" s="2091" t="s">
        <v>2203</v>
      </c>
      <c r="G6" s="2091" t="s">
        <v>2204</v>
      </c>
      <c r="H6" s="2091" t="s">
        <v>24</v>
      </c>
      <c r="I6" s="2091" t="s">
        <v>706</v>
      </c>
    </row>
    <row r="7" spans="1:9" ht="11.25" customHeight="1">
      <c r="A7" s="2091" t="s">
        <v>2181</v>
      </c>
      <c r="B7" s="2091" t="s">
        <v>14</v>
      </c>
      <c r="C7" s="2091" t="s">
        <v>2205</v>
      </c>
      <c r="D7" s="2091" t="s">
        <v>2206</v>
      </c>
      <c r="E7" s="2091" t="s">
        <v>2207</v>
      </c>
      <c r="F7" s="2091" t="s">
        <v>2208</v>
      </c>
      <c r="G7" s="2091" t="s">
        <v>2209</v>
      </c>
      <c r="H7" s="2091" t="s">
        <v>24</v>
      </c>
      <c r="I7" s="2091" t="s">
        <v>706</v>
      </c>
    </row>
    <row r="8" spans="1:9" ht="11.25" customHeight="1">
      <c r="A8" s="2091" t="s">
        <v>2181</v>
      </c>
      <c r="B8" s="2091" t="s">
        <v>14</v>
      </c>
      <c r="C8" s="2091" t="s">
        <v>2210</v>
      </c>
      <c r="D8" s="2091" t="s">
        <v>2211</v>
      </c>
      <c r="E8" s="2091" t="s">
        <v>2212</v>
      </c>
      <c r="F8" s="2091" t="s">
        <v>2213</v>
      </c>
      <c r="G8" s="2091" t="s">
        <v>2214</v>
      </c>
      <c r="H8" s="2091" t="s">
        <v>24</v>
      </c>
      <c r="I8" s="2091" t="s">
        <v>706</v>
      </c>
    </row>
    <row r="9" spans="1:9" ht="11.25" customHeight="1">
      <c r="A9" s="2091" t="s">
        <v>2181</v>
      </c>
      <c r="B9" s="2091" t="s">
        <v>14</v>
      </c>
      <c r="C9" s="2091" t="s">
        <v>2215</v>
      </c>
      <c r="D9" s="2091" t="s">
        <v>2216</v>
      </c>
      <c r="E9" s="2091" t="s">
        <v>2217</v>
      </c>
      <c r="F9" s="2091" t="s">
        <v>2218</v>
      </c>
      <c r="G9" s="2091" t="s">
        <v>24</v>
      </c>
      <c r="H9" s="2091" t="s">
        <v>24</v>
      </c>
      <c r="I9" s="2091" t="s">
        <v>706</v>
      </c>
    </row>
    <row r="10" spans="1:9" ht="11.25" customHeight="1">
      <c r="A10" s="2091" t="s">
        <v>2181</v>
      </c>
      <c r="B10" s="2091" t="s">
        <v>14</v>
      </c>
      <c r="C10" s="2091" t="s">
        <v>2219</v>
      </c>
      <c r="D10" s="2091" t="s">
        <v>2220</v>
      </c>
      <c r="E10" s="2091" t="s">
        <v>2221</v>
      </c>
      <c r="F10" s="2091" t="s">
        <v>2222</v>
      </c>
      <c r="G10" s="2091" t="s">
        <v>24</v>
      </c>
      <c r="H10" s="2091" t="s">
        <v>24</v>
      </c>
      <c r="I10" s="2091" t="s">
        <v>706</v>
      </c>
    </row>
    <row r="11" spans="1:9" ht="11.25" customHeight="1">
      <c r="A11" s="2091" t="s">
        <v>2181</v>
      </c>
      <c r="B11" s="2091" t="s">
        <v>14</v>
      </c>
      <c r="C11" s="2091" t="s">
        <v>2223</v>
      </c>
      <c r="D11" s="2091" t="s">
        <v>2224</v>
      </c>
      <c r="E11" s="2091" t="s">
        <v>2225</v>
      </c>
      <c r="F11" s="2091" t="s">
        <v>2226</v>
      </c>
      <c r="G11" s="2091" t="s">
        <v>24</v>
      </c>
      <c r="H11" s="2091" t="s">
        <v>24</v>
      </c>
      <c r="I11" s="2091" t="s">
        <v>706</v>
      </c>
    </row>
    <row r="12" spans="1:9" ht="11.25" customHeight="1">
      <c r="A12" s="2091" t="s">
        <v>2181</v>
      </c>
      <c r="B12" s="2091" t="s">
        <v>14</v>
      </c>
      <c r="C12" s="2091" t="s">
        <v>2227</v>
      </c>
      <c r="D12" s="2091" t="s">
        <v>2228</v>
      </c>
      <c r="E12" s="2091" t="s">
        <v>2229</v>
      </c>
      <c r="F12" s="2091" t="s">
        <v>2222</v>
      </c>
      <c r="G12" s="2091" t="s">
        <v>2230</v>
      </c>
      <c r="H12" s="2091" t="s">
        <v>24</v>
      </c>
      <c r="I12" s="2091" t="s">
        <v>706</v>
      </c>
    </row>
    <row r="13" spans="1:9" ht="11.25" customHeight="1">
      <c r="A13" s="2091" t="s">
        <v>2181</v>
      </c>
      <c r="B13" s="2091" t="s">
        <v>14</v>
      </c>
      <c r="C13" s="2091" t="s">
        <v>2231</v>
      </c>
      <c r="D13" s="2091" t="s">
        <v>2232</v>
      </c>
      <c r="E13" s="2091" t="s">
        <v>2233</v>
      </c>
      <c r="F13" s="2091" t="s">
        <v>2185</v>
      </c>
      <c r="G13" s="2091" t="s">
        <v>2234</v>
      </c>
      <c r="H13" s="2091" t="s">
        <v>2235</v>
      </c>
      <c r="I13" s="2091" t="s">
        <v>706</v>
      </c>
    </row>
    <row r="14" spans="1:9" ht="11.25" customHeight="1">
      <c r="A14" s="2091" t="s">
        <v>2181</v>
      </c>
      <c r="B14" s="2091" t="s">
        <v>14</v>
      </c>
      <c r="C14" s="2091" t="s">
        <v>2236</v>
      </c>
      <c r="D14" s="2091" t="s">
        <v>2237</v>
      </c>
      <c r="E14" s="2091" t="s">
        <v>2238</v>
      </c>
      <c r="F14" s="2091" t="s">
        <v>2239</v>
      </c>
      <c r="G14" s="2091" t="s">
        <v>24</v>
      </c>
      <c r="H14" s="2091" t="s">
        <v>24</v>
      </c>
      <c r="I14" s="2091" t="s">
        <v>706</v>
      </c>
    </row>
    <row r="15" spans="1:9" ht="11.25" customHeight="1">
      <c r="A15" s="2091" t="s">
        <v>2181</v>
      </c>
      <c r="B15" s="2091" t="s">
        <v>14</v>
      </c>
      <c r="C15" s="2091" t="s">
        <v>2240</v>
      </c>
      <c r="D15" s="2091" t="s">
        <v>2241</v>
      </c>
      <c r="E15" s="2091" t="s">
        <v>2238</v>
      </c>
      <c r="F15" s="2091" t="s">
        <v>2242</v>
      </c>
      <c r="G15" s="2091" t="s">
        <v>2243</v>
      </c>
      <c r="H15" s="2091" t="s">
        <v>24</v>
      </c>
      <c r="I15" s="2091" t="s">
        <v>706</v>
      </c>
    </row>
    <row r="16" spans="1:9" ht="11.25" customHeight="1">
      <c r="A16" s="2091" t="s">
        <v>2181</v>
      </c>
      <c r="B16" s="2091" t="s">
        <v>14</v>
      </c>
      <c r="C16" s="2091" t="s">
        <v>2244</v>
      </c>
      <c r="D16" s="2091" t="s">
        <v>2245</v>
      </c>
      <c r="E16" s="2091" t="s">
        <v>2246</v>
      </c>
      <c r="F16" s="2091" t="s">
        <v>2185</v>
      </c>
      <c r="G16" s="2091" t="s">
        <v>2234</v>
      </c>
      <c r="H16" s="2091" t="s">
        <v>24</v>
      </c>
      <c r="I16" s="2091" t="s">
        <v>706</v>
      </c>
    </row>
    <row r="17" spans="1:9" ht="11.25" customHeight="1">
      <c r="A17" s="2091" t="s">
        <v>2181</v>
      </c>
      <c r="B17" s="2091" t="s">
        <v>14</v>
      </c>
      <c r="C17" s="2091" t="s">
        <v>2247</v>
      </c>
      <c r="D17" s="2091" t="s">
        <v>2248</v>
      </c>
      <c r="E17" s="2091" t="s">
        <v>2249</v>
      </c>
      <c r="F17" s="2091" t="s">
        <v>2250</v>
      </c>
      <c r="G17" s="2091" t="s">
        <v>2251</v>
      </c>
      <c r="H17" s="2091" t="s">
        <v>24</v>
      </c>
      <c r="I17" s="2091" t="s">
        <v>706</v>
      </c>
    </row>
    <row r="18" spans="1:9" ht="11.25" customHeight="1">
      <c r="A18" s="2091" t="s">
        <v>2181</v>
      </c>
      <c r="B18" s="2091" t="s">
        <v>14</v>
      </c>
      <c r="C18" s="2091" t="s">
        <v>2252</v>
      </c>
      <c r="D18" s="2091" t="s">
        <v>2253</v>
      </c>
      <c r="E18" s="2091" t="s">
        <v>2254</v>
      </c>
      <c r="F18" s="2091" t="s">
        <v>2255</v>
      </c>
      <c r="G18" s="2091" t="s">
        <v>2256</v>
      </c>
      <c r="H18" s="2091" t="s">
        <v>24</v>
      </c>
      <c r="I18" s="2091" t="s">
        <v>706</v>
      </c>
    </row>
    <row r="19" spans="1:9" ht="11.25" customHeight="1">
      <c r="A19" s="2091" t="s">
        <v>2181</v>
      </c>
      <c r="B19" s="2091" t="s">
        <v>14</v>
      </c>
      <c r="C19" s="2091" t="s">
        <v>2257</v>
      </c>
      <c r="D19" s="2091" t="s">
        <v>2258</v>
      </c>
      <c r="E19" s="2091" t="s">
        <v>2259</v>
      </c>
      <c r="F19" s="2091" t="s">
        <v>2260</v>
      </c>
      <c r="G19" s="2091" t="s">
        <v>2261</v>
      </c>
      <c r="H19" s="2091" t="s">
        <v>24</v>
      </c>
      <c r="I19" s="2091" t="s">
        <v>706</v>
      </c>
    </row>
    <row r="20" spans="1:9" ht="11.25" customHeight="1">
      <c r="A20" s="2091" t="s">
        <v>2181</v>
      </c>
      <c r="B20" s="2091" t="s">
        <v>14</v>
      </c>
      <c r="C20" s="2091" t="s">
        <v>2262</v>
      </c>
      <c r="D20" s="2091" t="s">
        <v>2263</v>
      </c>
      <c r="E20" s="2091" t="s">
        <v>2264</v>
      </c>
      <c r="F20" s="2091" t="s">
        <v>2255</v>
      </c>
      <c r="G20" s="2091" t="s">
        <v>24</v>
      </c>
      <c r="H20" s="2091" t="s">
        <v>24</v>
      </c>
      <c r="I20" s="2091" t="s">
        <v>706</v>
      </c>
    </row>
    <row r="21" spans="1:9" ht="11.25" customHeight="1">
      <c r="A21" s="2091" t="s">
        <v>2181</v>
      </c>
      <c r="B21" s="2091" t="s">
        <v>14</v>
      </c>
      <c r="C21" s="2091" t="s">
        <v>2265</v>
      </c>
      <c r="D21" s="2091" t="s">
        <v>2266</v>
      </c>
      <c r="E21" s="2091" t="s">
        <v>2267</v>
      </c>
      <c r="F21" s="2091" t="s">
        <v>2268</v>
      </c>
      <c r="G21" s="2091" t="s">
        <v>2269</v>
      </c>
      <c r="H21" s="2091" t="s">
        <v>24</v>
      </c>
      <c r="I21" s="2091" t="s">
        <v>706</v>
      </c>
    </row>
    <row r="22" spans="1:9" ht="11.25" customHeight="1">
      <c r="A22" s="2091" t="s">
        <v>2181</v>
      </c>
      <c r="B22" s="2091" t="s">
        <v>14</v>
      </c>
      <c r="C22" s="2091" t="s">
        <v>2270</v>
      </c>
      <c r="D22" s="2091" t="s">
        <v>2271</v>
      </c>
      <c r="E22" s="2091" t="s">
        <v>2272</v>
      </c>
      <c r="F22" s="2091" t="s">
        <v>2273</v>
      </c>
      <c r="G22" s="2091" t="s">
        <v>2274</v>
      </c>
      <c r="H22" s="2091" t="s">
        <v>24</v>
      </c>
      <c r="I22" s="2091" t="s">
        <v>706</v>
      </c>
    </row>
    <row r="23" spans="1:9" ht="11.25" customHeight="1">
      <c r="A23" s="2091" t="s">
        <v>2181</v>
      </c>
      <c r="B23" s="2091" t="s">
        <v>14</v>
      </c>
      <c r="C23" s="2091" t="s">
        <v>2275</v>
      </c>
      <c r="D23" s="2091" t="s">
        <v>2276</v>
      </c>
      <c r="E23" s="2091" t="s">
        <v>2277</v>
      </c>
      <c r="F23" s="2091" t="s">
        <v>2278</v>
      </c>
      <c r="G23" s="2091" t="s">
        <v>2279</v>
      </c>
      <c r="H23" s="2091" t="s">
        <v>24</v>
      </c>
      <c r="I23" s="2091" t="s">
        <v>706</v>
      </c>
    </row>
    <row r="24" spans="1:9" ht="11.25" customHeight="1">
      <c r="A24" s="2091" t="s">
        <v>2181</v>
      </c>
      <c r="B24" s="2091" t="s">
        <v>14</v>
      </c>
      <c r="C24" s="2091" t="s">
        <v>2280</v>
      </c>
      <c r="D24" s="2091" t="s">
        <v>2281</v>
      </c>
      <c r="E24" s="2091" t="s">
        <v>2282</v>
      </c>
      <c r="F24" s="2091" t="s">
        <v>2283</v>
      </c>
      <c r="G24" s="2091" t="s">
        <v>24</v>
      </c>
      <c r="H24" s="2091" t="s">
        <v>24</v>
      </c>
      <c r="I24" s="2091" t="s">
        <v>706</v>
      </c>
    </row>
    <row r="25" spans="1:9" ht="11.25" customHeight="1">
      <c r="A25" s="2091" t="s">
        <v>2181</v>
      </c>
      <c r="B25" s="2091" t="s">
        <v>14</v>
      </c>
      <c r="C25" s="2091" t="s">
        <v>2284</v>
      </c>
      <c r="D25" s="2091" t="s">
        <v>2285</v>
      </c>
      <c r="E25" s="2091" t="s">
        <v>2286</v>
      </c>
      <c r="F25" s="2091" t="s">
        <v>2278</v>
      </c>
      <c r="G25" s="2091" t="s">
        <v>24</v>
      </c>
      <c r="H25" s="2091" t="s">
        <v>24</v>
      </c>
      <c r="I25" s="2091" t="s">
        <v>706</v>
      </c>
    </row>
    <row r="26" spans="1:9" ht="11.25" customHeight="1">
      <c r="A26" s="2091" t="s">
        <v>2181</v>
      </c>
      <c r="B26" s="2091" t="s">
        <v>14</v>
      </c>
      <c r="C26" s="2091" t="s">
        <v>2287</v>
      </c>
      <c r="D26" s="2091" t="s">
        <v>2288</v>
      </c>
      <c r="E26" s="2091" t="s">
        <v>2289</v>
      </c>
      <c r="F26" s="2091" t="s">
        <v>2185</v>
      </c>
      <c r="G26" s="2091" t="s">
        <v>24</v>
      </c>
      <c r="H26" s="2091" t="s">
        <v>24</v>
      </c>
      <c r="I26" s="2091" t="s">
        <v>706</v>
      </c>
    </row>
    <row r="27" spans="1:9" ht="11.25" customHeight="1">
      <c r="A27" s="2091" t="s">
        <v>2181</v>
      </c>
      <c r="B27" s="2091" t="s">
        <v>14</v>
      </c>
      <c r="C27" s="2091" t="s">
        <v>2290</v>
      </c>
      <c r="D27" s="2091" t="s">
        <v>2291</v>
      </c>
      <c r="E27" s="2091" t="s">
        <v>2292</v>
      </c>
      <c r="F27" s="2091" t="s">
        <v>2293</v>
      </c>
      <c r="G27" s="2091" t="s">
        <v>24</v>
      </c>
      <c r="H27" s="2091" t="s">
        <v>24</v>
      </c>
      <c r="I27" s="2091" t="s">
        <v>706</v>
      </c>
    </row>
    <row r="28" spans="1:9" ht="11.25" customHeight="1">
      <c r="A28" s="2091" t="s">
        <v>2181</v>
      </c>
      <c r="B28" s="2091" t="s">
        <v>14</v>
      </c>
      <c r="C28" s="2091" t="s">
        <v>2294</v>
      </c>
      <c r="D28" s="2091" t="s">
        <v>2295</v>
      </c>
      <c r="E28" s="2091" t="s">
        <v>2296</v>
      </c>
      <c r="F28" s="2091" t="s">
        <v>2297</v>
      </c>
      <c r="G28" s="2091" t="s">
        <v>24</v>
      </c>
      <c r="H28" s="2091" t="s">
        <v>24</v>
      </c>
      <c r="I28" s="2091" t="s">
        <v>706</v>
      </c>
    </row>
    <row r="29" spans="1:9" ht="11.25" customHeight="1">
      <c r="A29" s="2091" t="s">
        <v>2181</v>
      </c>
      <c r="B29" s="2091" t="s">
        <v>14</v>
      </c>
      <c r="C29" s="2091" t="s">
        <v>2298</v>
      </c>
      <c r="D29" s="2091" t="s">
        <v>2299</v>
      </c>
      <c r="E29" s="2091" t="s">
        <v>2238</v>
      </c>
      <c r="F29" s="2091" t="s">
        <v>2185</v>
      </c>
      <c r="G29" s="2091" t="s">
        <v>2300</v>
      </c>
      <c r="H29" s="2091" t="s">
        <v>24</v>
      </c>
      <c r="I29" s="2091" t="s">
        <v>706</v>
      </c>
    </row>
    <row r="30" spans="1:9" ht="11.25" customHeight="1">
      <c r="A30" s="2091" t="s">
        <v>2181</v>
      </c>
      <c r="B30" s="2091" t="s">
        <v>14</v>
      </c>
      <c r="C30" s="2091" t="s">
        <v>2301</v>
      </c>
      <c r="D30" s="2091" t="s">
        <v>2302</v>
      </c>
      <c r="E30" s="2091" t="s">
        <v>2238</v>
      </c>
      <c r="F30" s="2091" t="s">
        <v>2303</v>
      </c>
      <c r="G30" s="2091" t="s">
        <v>24</v>
      </c>
      <c r="H30" s="2091" t="s">
        <v>24</v>
      </c>
      <c r="I30" s="2091" t="s">
        <v>706</v>
      </c>
    </row>
    <row r="31" spans="1:9" ht="11.25" customHeight="1">
      <c r="A31" s="2091" t="s">
        <v>2181</v>
      </c>
      <c r="B31" s="2091" t="s">
        <v>14</v>
      </c>
      <c r="C31" s="2091" t="s">
        <v>2304</v>
      </c>
      <c r="D31" s="2091" t="s">
        <v>2305</v>
      </c>
      <c r="E31" s="2091" t="s">
        <v>2296</v>
      </c>
      <c r="F31" s="2091" t="s">
        <v>2306</v>
      </c>
      <c r="G31" s="2091" t="s">
        <v>24</v>
      </c>
      <c r="H31" s="2091" t="s">
        <v>24</v>
      </c>
      <c r="I31" s="2091" t="s">
        <v>706</v>
      </c>
    </row>
    <row r="32" spans="1:9" ht="11.25" customHeight="1">
      <c r="A32" s="2091" t="s">
        <v>2181</v>
      </c>
      <c r="B32" s="2091" t="s">
        <v>14</v>
      </c>
      <c r="C32" s="2091" t="s">
        <v>2307</v>
      </c>
      <c r="D32" s="2091" t="s">
        <v>2308</v>
      </c>
      <c r="E32" s="2091" t="s">
        <v>2309</v>
      </c>
      <c r="F32" s="2091" t="s">
        <v>2185</v>
      </c>
      <c r="G32" s="2091" t="s">
        <v>24</v>
      </c>
      <c r="H32" s="2091" t="s">
        <v>24</v>
      </c>
      <c r="I32" s="2091" t="s">
        <v>706</v>
      </c>
    </row>
    <row r="33" spans="1:9" ht="11.25" customHeight="1">
      <c r="A33" s="2091" t="s">
        <v>2181</v>
      </c>
      <c r="B33" s="2091" t="s">
        <v>14</v>
      </c>
      <c r="C33" s="2091" t="s">
        <v>2310</v>
      </c>
      <c r="D33" s="2091" t="s">
        <v>2311</v>
      </c>
      <c r="E33" s="2091" t="s">
        <v>2312</v>
      </c>
      <c r="F33" s="2091" t="s">
        <v>2313</v>
      </c>
      <c r="G33" s="2091" t="s">
        <v>24</v>
      </c>
      <c r="H33" s="2091" t="s">
        <v>24</v>
      </c>
      <c r="I33" s="2091" t="s">
        <v>706</v>
      </c>
    </row>
    <row r="34" spans="1:9" ht="11.25" customHeight="1">
      <c r="A34" s="2091" t="s">
        <v>2181</v>
      </c>
      <c r="B34" s="2091" t="s">
        <v>14</v>
      </c>
      <c r="C34" s="2091" t="s">
        <v>2314</v>
      </c>
      <c r="D34" s="2091" t="s">
        <v>2315</v>
      </c>
      <c r="E34" s="2091" t="s">
        <v>2316</v>
      </c>
      <c r="F34" s="2091" t="s">
        <v>2317</v>
      </c>
      <c r="G34" s="2091" t="s">
        <v>24</v>
      </c>
      <c r="H34" s="2091" t="s">
        <v>24</v>
      </c>
      <c r="I34" s="2091" t="s">
        <v>706</v>
      </c>
    </row>
    <row r="35" spans="1:9" ht="11.25" customHeight="1">
      <c r="A35" s="2091" t="s">
        <v>2181</v>
      </c>
      <c r="B35" s="2091" t="s">
        <v>14</v>
      </c>
      <c r="C35" s="2091" t="s">
        <v>2318</v>
      </c>
      <c r="D35" s="2091" t="s">
        <v>2319</v>
      </c>
      <c r="E35" s="2091" t="s">
        <v>2320</v>
      </c>
      <c r="F35" s="2091" t="s">
        <v>2317</v>
      </c>
      <c r="G35" s="2091" t="s">
        <v>2321</v>
      </c>
      <c r="H35" s="2091" t="s">
        <v>24</v>
      </c>
      <c r="I35" s="2091" t="s">
        <v>706</v>
      </c>
    </row>
    <row r="36" spans="1:9" ht="11.25" customHeight="1">
      <c r="A36" s="2091" t="s">
        <v>2181</v>
      </c>
      <c r="B36" s="2091" t="s">
        <v>14</v>
      </c>
      <c r="C36" s="2091" t="s">
        <v>2322</v>
      </c>
      <c r="D36" s="2091" t="s">
        <v>2323</v>
      </c>
      <c r="E36" s="2091" t="s">
        <v>2324</v>
      </c>
      <c r="F36" s="2091" t="s">
        <v>2325</v>
      </c>
      <c r="G36" s="2091" t="s">
        <v>24</v>
      </c>
      <c r="H36" s="2091" t="s">
        <v>24</v>
      </c>
      <c r="I36" s="2091" t="s">
        <v>706</v>
      </c>
    </row>
    <row r="37" spans="1:9" ht="11.25" customHeight="1">
      <c r="A37" s="2091" t="s">
        <v>2181</v>
      </c>
      <c r="B37" s="2091" t="s">
        <v>14</v>
      </c>
      <c r="C37" s="2091" t="s">
        <v>2326</v>
      </c>
      <c r="D37" s="2091" t="s">
        <v>2327</v>
      </c>
      <c r="E37" s="2091" t="s">
        <v>2328</v>
      </c>
      <c r="F37" s="2091" t="s">
        <v>2329</v>
      </c>
      <c r="G37" s="2091" t="s">
        <v>2330</v>
      </c>
      <c r="H37" s="2091" t="s">
        <v>24</v>
      </c>
      <c r="I37" s="2091" t="s">
        <v>706</v>
      </c>
    </row>
    <row r="38" spans="1:9" ht="11.25" customHeight="1">
      <c r="A38" s="2091" t="s">
        <v>2181</v>
      </c>
      <c r="B38" s="2091" t="s">
        <v>14</v>
      </c>
      <c r="C38" s="2091" t="s">
        <v>2331</v>
      </c>
      <c r="D38" s="2091" t="s">
        <v>2332</v>
      </c>
      <c r="E38" s="2091" t="s">
        <v>2333</v>
      </c>
      <c r="F38" s="2091" t="s">
        <v>2334</v>
      </c>
      <c r="G38" s="2091" t="s">
        <v>24</v>
      </c>
      <c r="H38" s="2091" t="s">
        <v>24</v>
      </c>
      <c r="I38" s="2091" t="s">
        <v>706</v>
      </c>
    </row>
    <row r="39" spans="1:9" ht="11.25" customHeight="1">
      <c r="A39" s="2091" t="s">
        <v>2181</v>
      </c>
      <c r="B39" s="2091" t="s">
        <v>14</v>
      </c>
      <c r="C39" s="2091" t="s">
        <v>2335</v>
      </c>
      <c r="D39" s="2091" t="s">
        <v>2336</v>
      </c>
      <c r="E39" s="2091" t="s">
        <v>2337</v>
      </c>
      <c r="F39" s="2091" t="s">
        <v>2338</v>
      </c>
      <c r="G39" s="2091" t="s">
        <v>2339</v>
      </c>
      <c r="H39" s="2091" t="s">
        <v>24</v>
      </c>
      <c r="I39" s="2091" t="s">
        <v>706</v>
      </c>
    </row>
    <row r="40" spans="1:9" ht="11.25" customHeight="1">
      <c r="A40" s="2091" t="s">
        <v>2181</v>
      </c>
      <c r="B40" s="2091" t="s">
        <v>14</v>
      </c>
      <c r="C40" s="2091" t="s">
        <v>2340</v>
      </c>
      <c r="D40" s="2091" t="s">
        <v>2341</v>
      </c>
      <c r="E40" s="2091" t="s">
        <v>2342</v>
      </c>
      <c r="F40" s="2091" t="s">
        <v>2343</v>
      </c>
      <c r="G40" s="2091" t="s">
        <v>2344</v>
      </c>
      <c r="H40" s="2091" t="s">
        <v>24</v>
      </c>
      <c r="I40" s="2091" t="s">
        <v>706</v>
      </c>
    </row>
    <row r="41" spans="1:9" ht="11.25" customHeight="1">
      <c r="A41" s="2091" t="s">
        <v>2181</v>
      </c>
      <c r="B41" s="2091" t="s">
        <v>14</v>
      </c>
      <c r="C41" s="2091" t="s">
        <v>2345</v>
      </c>
      <c r="D41" s="2091" t="s">
        <v>2346</v>
      </c>
      <c r="E41" s="2091" t="s">
        <v>2347</v>
      </c>
      <c r="F41" s="2091" t="s">
        <v>2348</v>
      </c>
      <c r="G41" s="2091" t="s">
        <v>24</v>
      </c>
      <c r="H41" s="2091" t="s">
        <v>24</v>
      </c>
      <c r="I41" s="2091" t="s">
        <v>706</v>
      </c>
    </row>
    <row r="42" spans="1:9" ht="11.25" customHeight="1">
      <c r="A42" s="2091" t="s">
        <v>2181</v>
      </c>
      <c r="B42" s="2091" t="s">
        <v>14</v>
      </c>
      <c r="C42" s="2091" t="s">
        <v>2349</v>
      </c>
      <c r="D42" s="2091" t="s">
        <v>2350</v>
      </c>
      <c r="E42" s="2091" t="s">
        <v>2351</v>
      </c>
      <c r="F42" s="2091" t="s">
        <v>2317</v>
      </c>
      <c r="G42" s="2091" t="s">
        <v>24</v>
      </c>
      <c r="H42" s="2091" t="s">
        <v>24</v>
      </c>
      <c r="I42" s="2091" t="s">
        <v>706</v>
      </c>
    </row>
    <row r="43" spans="1:9" ht="11.25" customHeight="1">
      <c r="A43" s="2091" t="s">
        <v>2181</v>
      </c>
      <c r="B43" s="2091" t="s">
        <v>14</v>
      </c>
      <c r="C43" s="2091" t="s">
        <v>2352</v>
      </c>
      <c r="D43" s="2091" t="s">
        <v>2353</v>
      </c>
      <c r="E43" s="2091" t="s">
        <v>2354</v>
      </c>
      <c r="F43" s="2091" t="s">
        <v>559</v>
      </c>
      <c r="G43" s="2091" t="s">
        <v>24</v>
      </c>
      <c r="H43" s="2091" t="s">
        <v>24</v>
      </c>
      <c r="I43" s="2091" t="s">
        <v>706</v>
      </c>
    </row>
    <row r="44" spans="1:9" ht="11.25" customHeight="1">
      <c r="A44" s="2091" t="s">
        <v>2181</v>
      </c>
      <c r="B44" s="2091" t="s">
        <v>14</v>
      </c>
      <c r="C44" s="2091" t="s">
        <v>2355</v>
      </c>
      <c r="D44" s="2091" t="s">
        <v>2356</v>
      </c>
      <c r="E44" s="2091" t="s">
        <v>2357</v>
      </c>
      <c r="F44" s="2091" t="s">
        <v>559</v>
      </c>
      <c r="G44" s="2091" t="s">
        <v>24</v>
      </c>
      <c r="H44" s="2091" t="s">
        <v>24</v>
      </c>
      <c r="I44" s="2091" t="s">
        <v>706</v>
      </c>
    </row>
    <row r="45" spans="1:9" ht="11.25" customHeight="1">
      <c r="A45" s="2091" t="s">
        <v>2181</v>
      </c>
      <c r="B45" s="2091" t="s">
        <v>14</v>
      </c>
      <c r="C45" s="2091" t="s">
        <v>2358</v>
      </c>
      <c r="D45" s="2091" t="s">
        <v>2359</v>
      </c>
      <c r="E45" s="2091" t="s">
        <v>2360</v>
      </c>
      <c r="F45" s="2091" t="s">
        <v>2361</v>
      </c>
      <c r="G45" s="2091" t="s">
        <v>24</v>
      </c>
      <c r="H45" s="2091" t="s">
        <v>24</v>
      </c>
      <c r="I45" s="2091" t="s">
        <v>706</v>
      </c>
    </row>
    <row r="46" spans="1:9" ht="11.25" customHeight="1">
      <c r="A46" s="2091" t="s">
        <v>2181</v>
      </c>
      <c r="B46" s="2091" t="s">
        <v>14</v>
      </c>
      <c r="C46" s="2091" t="s">
        <v>2362</v>
      </c>
      <c r="D46" s="2091" t="s">
        <v>2363</v>
      </c>
      <c r="E46" s="2091" t="s">
        <v>2364</v>
      </c>
      <c r="F46" s="2091" t="s">
        <v>2365</v>
      </c>
      <c r="G46" s="2091" t="s">
        <v>24</v>
      </c>
      <c r="H46" s="2091" t="s">
        <v>24</v>
      </c>
      <c r="I46" s="2091" t="s">
        <v>706</v>
      </c>
    </row>
    <row r="47" spans="1:9" ht="11.25" customHeight="1">
      <c r="A47" s="2091" t="s">
        <v>2181</v>
      </c>
      <c r="B47" s="2091" t="s">
        <v>14</v>
      </c>
      <c r="C47" s="2091" t="s">
        <v>2366</v>
      </c>
      <c r="D47" s="2091" t="s">
        <v>2367</v>
      </c>
      <c r="E47" s="2091" t="s">
        <v>2368</v>
      </c>
      <c r="F47" s="2091" t="s">
        <v>2293</v>
      </c>
      <c r="G47" s="2091" t="s">
        <v>24</v>
      </c>
      <c r="H47" s="2091" t="s">
        <v>24</v>
      </c>
      <c r="I47" s="2091" t="s">
        <v>706</v>
      </c>
    </row>
    <row r="48" spans="1:9" ht="11.25" customHeight="1">
      <c r="A48" s="2091" t="s">
        <v>2181</v>
      </c>
      <c r="B48" s="2091" t="s">
        <v>14</v>
      </c>
      <c r="C48" s="2091" t="s">
        <v>2369</v>
      </c>
      <c r="D48" s="2091" t="s">
        <v>2370</v>
      </c>
      <c r="E48" s="2091" t="s">
        <v>2371</v>
      </c>
      <c r="F48" s="2091" t="s">
        <v>2372</v>
      </c>
      <c r="G48" s="2091" t="s">
        <v>24</v>
      </c>
      <c r="H48" s="2091" t="s">
        <v>24</v>
      </c>
      <c r="I48" s="2091" t="s">
        <v>706</v>
      </c>
    </row>
    <row r="49" spans="1:9" ht="11.25" customHeight="1">
      <c r="A49" s="2091" t="s">
        <v>2181</v>
      </c>
      <c r="B49" s="2091" t="s">
        <v>14</v>
      </c>
      <c r="C49" s="2091" t="s">
        <v>2373</v>
      </c>
      <c r="D49" s="2091" t="s">
        <v>2374</v>
      </c>
      <c r="E49" s="2091" t="s">
        <v>2375</v>
      </c>
      <c r="F49" s="2091" t="s">
        <v>2376</v>
      </c>
      <c r="G49" s="2091" t="s">
        <v>24</v>
      </c>
      <c r="H49" s="2091" t="s">
        <v>24</v>
      </c>
      <c r="I49" s="2091" t="s">
        <v>706</v>
      </c>
    </row>
    <row r="50" spans="1:9" ht="11.25" customHeight="1">
      <c r="A50" s="2091" t="s">
        <v>2181</v>
      </c>
      <c r="B50" s="2091" t="s">
        <v>14</v>
      </c>
      <c r="C50" s="2091" t="s">
        <v>2377</v>
      </c>
      <c r="D50" s="2091" t="s">
        <v>2378</v>
      </c>
      <c r="E50" s="2091" t="s">
        <v>2379</v>
      </c>
      <c r="F50" s="2091" t="s">
        <v>2250</v>
      </c>
      <c r="G50" s="2091" t="s">
        <v>24</v>
      </c>
      <c r="H50" s="2091" t="s">
        <v>24</v>
      </c>
      <c r="I50" s="2091" t="s">
        <v>706</v>
      </c>
    </row>
    <row r="51" spans="1:9" ht="11.25" customHeight="1">
      <c r="A51" s="2091" t="s">
        <v>2181</v>
      </c>
      <c r="B51" s="2091" t="s">
        <v>14</v>
      </c>
      <c r="C51" s="2091" t="s">
        <v>2380</v>
      </c>
      <c r="D51" s="2091" t="s">
        <v>2381</v>
      </c>
      <c r="E51" s="2091" t="s">
        <v>2382</v>
      </c>
      <c r="F51" s="2091" t="s">
        <v>2383</v>
      </c>
      <c r="G51" s="2091" t="s">
        <v>24</v>
      </c>
      <c r="H51" s="2091" t="s">
        <v>24</v>
      </c>
      <c r="I51" s="2091" t="s">
        <v>706</v>
      </c>
    </row>
    <row r="52" spans="1:9" ht="11.25" customHeight="1">
      <c r="A52" s="2091" t="s">
        <v>2181</v>
      </c>
      <c r="B52" s="2091" t="s">
        <v>14</v>
      </c>
      <c r="C52" s="2091" t="s">
        <v>2384</v>
      </c>
      <c r="D52" s="2091" t="s">
        <v>2385</v>
      </c>
      <c r="E52" s="2091" t="s">
        <v>2386</v>
      </c>
      <c r="F52" s="2091" t="s">
        <v>2317</v>
      </c>
      <c r="G52" s="2091" t="s">
        <v>24</v>
      </c>
      <c r="H52" s="2091" t="s">
        <v>24</v>
      </c>
      <c r="I52" s="2091" t="s">
        <v>706</v>
      </c>
    </row>
    <row r="53" spans="1:9" ht="11.25" customHeight="1">
      <c r="A53" s="2091" t="s">
        <v>2181</v>
      </c>
      <c r="B53" s="2091" t="s">
        <v>14</v>
      </c>
      <c r="C53" s="2091" t="s">
        <v>2387</v>
      </c>
      <c r="D53" s="2091" t="s">
        <v>2388</v>
      </c>
      <c r="E53" s="2091" t="s">
        <v>2389</v>
      </c>
      <c r="F53" s="2091" t="s">
        <v>2283</v>
      </c>
      <c r="G53" s="2091" t="s">
        <v>2390</v>
      </c>
      <c r="H53" s="2091" t="s">
        <v>24</v>
      </c>
      <c r="I53" s="2091" t="s">
        <v>706</v>
      </c>
    </row>
    <row r="54" spans="1:9" ht="11.25" customHeight="1">
      <c r="A54" s="2091" t="s">
        <v>2181</v>
      </c>
      <c r="B54" s="2091" t="s">
        <v>14</v>
      </c>
      <c r="C54" s="2091" t="s">
        <v>2391</v>
      </c>
      <c r="D54" s="2091" t="s">
        <v>2392</v>
      </c>
      <c r="E54" s="2091" t="s">
        <v>2393</v>
      </c>
      <c r="F54" s="2091" t="s">
        <v>2394</v>
      </c>
      <c r="G54" s="2091" t="s">
        <v>24</v>
      </c>
      <c r="H54" s="2091" t="s">
        <v>24</v>
      </c>
      <c r="I54" s="2091" t="s">
        <v>706</v>
      </c>
    </row>
    <row r="55" spans="1:9" ht="11.25" customHeight="1">
      <c r="A55" s="2091" t="s">
        <v>2181</v>
      </c>
      <c r="B55" s="2091" t="s">
        <v>14</v>
      </c>
      <c r="C55" s="2091" t="s">
        <v>2395</v>
      </c>
      <c r="D55" s="2091" t="s">
        <v>2396</v>
      </c>
      <c r="E55" s="2091" t="s">
        <v>2397</v>
      </c>
      <c r="F55" s="2091" t="s">
        <v>2194</v>
      </c>
      <c r="G55" s="2091" t="s">
        <v>24</v>
      </c>
      <c r="H55" s="2091" t="s">
        <v>24</v>
      </c>
      <c r="I55" s="2091" t="s">
        <v>706</v>
      </c>
    </row>
    <row r="56" spans="1:9" ht="11.25" customHeight="1">
      <c r="A56" s="2091" t="s">
        <v>2181</v>
      </c>
      <c r="B56" s="2091" t="s">
        <v>14</v>
      </c>
      <c r="C56" s="2091" t="s">
        <v>2398</v>
      </c>
      <c r="D56" s="2091" t="s">
        <v>2399</v>
      </c>
      <c r="E56" s="2091" t="s">
        <v>2400</v>
      </c>
      <c r="F56" s="2091" t="s">
        <v>2401</v>
      </c>
      <c r="G56" s="2091" t="s">
        <v>24</v>
      </c>
      <c r="H56" s="2091" t="s">
        <v>24</v>
      </c>
      <c r="I56" s="2091" t="s">
        <v>706</v>
      </c>
    </row>
    <row r="57" spans="1:9" ht="11.25" customHeight="1">
      <c r="A57" s="2091" t="s">
        <v>2181</v>
      </c>
      <c r="B57" s="2091" t="s">
        <v>14</v>
      </c>
      <c r="C57" s="2091" t="s">
        <v>2402</v>
      </c>
      <c r="D57" s="2091" t="s">
        <v>2403</v>
      </c>
      <c r="E57" s="2091" t="s">
        <v>2404</v>
      </c>
      <c r="F57" s="2091" t="s">
        <v>2405</v>
      </c>
      <c r="G57" s="2091" t="s">
        <v>24</v>
      </c>
      <c r="H57" s="2091" t="s">
        <v>24</v>
      </c>
      <c r="I57" s="2091" t="s">
        <v>706</v>
      </c>
    </row>
    <row r="58" spans="1:9" ht="11.25" customHeight="1">
      <c r="A58" s="2091" t="s">
        <v>2181</v>
      </c>
      <c r="B58" s="2091" t="s">
        <v>14</v>
      </c>
      <c r="C58" s="2091" t="s">
        <v>24</v>
      </c>
      <c r="D58" s="2091" t="s">
        <v>2406</v>
      </c>
      <c r="E58" s="2091" t="s">
        <v>2407</v>
      </c>
      <c r="F58" s="2091" t="s">
        <v>2293</v>
      </c>
      <c r="G58" s="2091" t="s">
        <v>24</v>
      </c>
      <c r="H58" s="2091" t="s">
        <v>24</v>
      </c>
      <c r="I58" s="2091" t="s">
        <v>706</v>
      </c>
    </row>
    <row r="59" spans="1:9" ht="11.25" customHeight="1">
      <c r="A59" s="2091" t="s">
        <v>2181</v>
      </c>
      <c r="B59" s="2091" t="s">
        <v>14</v>
      </c>
      <c r="C59" s="2091" t="s">
        <v>2408</v>
      </c>
      <c r="D59" s="2091" t="s">
        <v>2409</v>
      </c>
      <c r="E59" s="2091" t="s">
        <v>2410</v>
      </c>
      <c r="F59" s="2091" t="s">
        <v>2218</v>
      </c>
      <c r="G59" s="2091" t="s">
        <v>24</v>
      </c>
      <c r="H59" s="2091" t="s">
        <v>24</v>
      </c>
      <c r="I59" s="2091" t="s">
        <v>706</v>
      </c>
    </row>
    <row r="60" spans="1:9" ht="11.25" customHeight="1">
      <c r="A60" s="2091" t="s">
        <v>2181</v>
      </c>
      <c r="B60" s="2091" t="s">
        <v>14</v>
      </c>
      <c r="C60" s="2091" t="s">
        <v>2411</v>
      </c>
      <c r="D60" s="2091" t="s">
        <v>2412</v>
      </c>
      <c r="E60" s="2091" t="s">
        <v>2413</v>
      </c>
      <c r="F60" s="2091" t="s">
        <v>2218</v>
      </c>
      <c r="G60" s="2091" t="s">
        <v>24</v>
      </c>
      <c r="H60" s="2091" t="s">
        <v>24</v>
      </c>
      <c r="I60" s="2091" t="s">
        <v>706</v>
      </c>
    </row>
    <row r="61" spans="1:9" ht="11.25" customHeight="1">
      <c r="A61" s="2091" t="s">
        <v>2181</v>
      </c>
      <c r="B61" s="2091" t="s">
        <v>14</v>
      </c>
      <c r="C61" s="2091" t="s">
        <v>2414</v>
      </c>
      <c r="D61" s="2091" t="s">
        <v>2415</v>
      </c>
      <c r="E61" s="2091" t="s">
        <v>2416</v>
      </c>
      <c r="F61" s="2091" t="s">
        <v>2218</v>
      </c>
      <c r="G61" s="2091" t="s">
        <v>24</v>
      </c>
      <c r="H61" s="2091" t="s">
        <v>24</v>
      </c>
      <c r="I61" s="2091" t="s">
        <v>706</v>
      </c>
    </row>
    <row r="62" spans="1:9" ht="11.25" customHeight="1">
      <c r="A62" s="2091" t="s">
        <v>2181</v>
      </c>
      <c r="B62" s="2091" t="s">
        <v>14</v>
      </c>
      <c r="C62" s="2091" t="s">
        <v>2417</v>
      </c>
      <c r="D62" s="2091" t="s">
        <v>2418</v>
      </c>
      <c r="E62" s="2091" t="s">
        <v>2419</v>
      </c>
      <c r="F62" s="2091" t="s">
        <v>2361</v>
      </c>
      <c r="G62" s="2091" t="s">
        <v>2420</v>
      </c>
      <c r="H62" s="2091" t="s">
        <v>24</v>
      </c>
      <c r="I62" s="2091" t="s">
        <v>706</v>
      </c>
    </row>
    <row r="63" spans="1:9" ht="11.25" customHeight="1">
      <c r="A63" s="2091" t="s">
        <v>2181</v>
      </c>
      <c r="B63" s="2091" t="s">
        <v>14</v>
      </c>
      <c r="C63" s="2091" t="s">
        <v>2421</v>
      </c>
      <c r="D63" s="2091" t="s">
        <v>2422</v>
      </c>
      <c r="E63" s="2091" t="s">
        <v>2423</v>
      </c>
      <c r="F63" s="2091" t="s">
        <v>2424</v>
      </c>
      <c r="G63" s="2091" t="s">
        <v>2425</v>
      </c>
      <c r="H63" s="2091" t="s">
        <v>24</v>
      </c>
      <c r="I63" s="2091" t="s">
        <v>706</v>
      </c>
    </row>
    <row r="64" spans="1:9" ht="11.25" customHeight="1">
      <c r="A64" s="2091" t="s">
        <v>2181</v>
      </c>
      <c r="B64" s="2091" t="s">
        <v>14</v>
      </c>
      <c r="C64" s="2091" t="s">
        <v>2426</v>
      </c>
      <c r="D64" s="2091" t="s">
        <v>2427</v>
      </c>
      <c r="E64" s="2091" t="s">
        <v>2428</v>
      </c>
      <c r="F64" s="2091" t="s">
        <v>2429</v>
      </c>
      <c r="G64" s="2091" t="s">
        <v>24</v>
      </c>
      <c r="H64" s="2091" t="s">
        <v>24</v>
      </c>
      <c r="I64" s="2091" t="s">
        <v>706</v>
      </c>
    </row>
    <row r="65" spans="1:9" ht="11.25" customHeight="1">
      <c r="A65" s="2091" t="s">
        <v>2181</v>
      </c>
      <c r="B65" s="2091" t="s">
        <v>14</v>
      </c>
      <c r="C65" s="2091" t="s">
        <v>2430</v>
      </c>
      <c r="D65" s="2091" t="s">
        <v>2431</v>
      </c>
      <c r="E65" s="2091" t="s">
        <v>2432</v>
      </c>
      <c r="F65" s="2091" t="s">
        <v>2433</v>
      </c>
      <c r="G65" s="2091" t="s">
        <v>2434</v>
      </c>
      <c r="H65" s="2091" t="s">
        <v>24</v>
      </c>
      <c r="I65" s="2091" t="s">
        <v>706</v>
      </c>
    </row>
    <row r="66" spans="1:9" ht="11.25" customHeight="1">
      <c r="A66" s="2091" t="s">
        <v>2181</v>
      </c>
      <c r="B66" s="2091" t="s">
        <v>14</v>
      </c>
      <c r="C66" s="2091" t="s">
        <v>2435</v>
      </c>
      <c r="D66" s="2091" t="s">
        <v>2436</v>
      </c>
      <c r="E66" s="2091" t="s">
        <v>2437</v>
      </c>
      <c r="F66" s="2091" t="s">
        <v>2438</v>
      </c>
      <c r="G66" s="2091" t="s">
        <v>2439</v>
      </c>
      <c r="H66" s="2091" t="s">
        <v>24</v>
      </c>
      <c r="I66" s="2091" t="s">
        <v>706</v>
      </c>
    </row>
    <row r="67" spans="1:9" ht="11.25" customHeight="1">
      <c r="A67" s="2091" t="s">
        <v>2181</v>
      </c>
      <c r="B67" s="2091" t="s">
        <v>14</v>
      </c>
      <c r="C67" s="2091" t="s">
        <v>2440</v>
      </c>
      <c r="D67" s="2091" t="s">
        <v>2441</v>
      </c>
      <c r="E67" s="2091" t="s">
        <v>2442</v>
      </c>
      <c r="F67" s="2091" t="s">
        <v>2443</v>
      </c>
      <c r="G67" s="2091" t="s">
        <v>2444</v>
      </c>
      <c r="H67" s="2091" t="s">
        <v>24</v>
      </c>
      <c r="I67" s="2091" t="s">
        <v>706</v>
      </c>
    </row>
    <row r="68" spans="1:9" ht="11.25" customHeight="1">
      <c r="A68" s="2091" t="s">
        <v>2181</v>
      </c>
      <c r="B68" s="2091" t="s">
        <v>14</v>
      </c>
      <c r="C68" s="2091" t="s">
        <v>2445</v>
      </c>
      <c r="D68" s="2091" t="s">
        <v>2446</v>
      </c>
      <c r="E68" s="2091" t="s">
        <v>2447</v>
      </c>
      <c r="F68" s="2091" t="s">
        <v>2443</v>
      </c>
      <c r="G68" s="2091" t="s">
        <v>24</v>
      </c>
      <c r="H68" s="2091" t="s">
        <v>24</v>
      </c>
      <c r="I68" s="2091" t="s">
        <v>706</v>
      </c>
    </row>
    <row r="69" spans="1:9" ht="11.25" customHeight="1">
      <c r="A69" s="2091" t="s">
        <v>2181</v>
      </c>
      <c r="B69" s="2091" t="s">
        <v>14</v>
      </c>
      <c r="C69" s="2091" t="s">
        <v>2448</v>
      </c>
      <c r="D69" s="2091" t="s">
        <v>2449</v>
      </c>
      <c r="E69" s="2091" t="s">
        <v>2450</v>
      </c>
      <c r="F69" s="2091" t="s">
        <v>2451</v>
      </c>
      <c r="G69" s="2091" t="s">
        <v>24</v>
      </c>
      <c r="H69" s="2091" t="s">
        <v>24</v>
      </c>
      <c r="I69" s="2091" t="s">
        <v>706</v>
      </c>
    </row>
    <row r="70" spans="1:9" ht="11.25" customHeight="1">
      <c r="A70" s="2091" t="s">
        <v>2181</v>
      </c>
      <c r="B70" s="2091" t="s">
        <v>14</v>
      </c>
      <c r="C70" s="2091" t="s">
        <v>2452</v>
      </c>
      <c r="D70" s="2091" t="s">
        <v>2453</v>
      </c>
      <c r="E70" s="2091" t="s">
        <v>2454</v>
      </c>
      <c r="F70" s="2091" t="s">
        <v>2455</v>
      </c>
      <c r="G70" s="2091" t="s">
        <v>24</v>
      </c>
      <c r="H70" s="2091" t="s">
        <v>24</v>
      </c>
      <c r="I70" s="2091" t="s">
        <v>706</v>
      </c>
    </row>
    <row r="71" spans="1:9" ht="11.25" customHeight="1">
      <c r="A71" s="2091" t="s">
        <v>2181</v>
      </c>
      <c r="B71" s="2091" t="s">
        <v>14</v>
      </c>
      <c r="C71" s="2091" t="s">
        <v>2456</v>
      </c>
      <c r="D71" s="2091" t="s">
        <v>2457</v>
      </c>
      <c r="E71" s="2091" t="s">
        <v>2458</v>
      </c>
      <c r="F71" s="2091" t="s">
        <v>2343</v>
      </c>
      <c r="G71" s="2091" t="s">
        <v>2459</v>
      </c>
      <c r="H71" s="2091" t="s">
        <v>24</v>
      </c>
      <c r="I71" s="2091" t="s">
        <v>706</v>
      </c>
    </row>
    <row r="72" spans="1:9" ht="11.25" customHeight="1">
      <c r="A72" s="2091" t="s">
        <v>2181</v>
      </c>
      <c r="B72" s="2091" t="s">
        <v>14</v>
      </c>
      <c r="C72" s="2091" t="s">
        <v>2460</v>
      </c>
      <c r="D72" s="2091" t="s">
        <v>2461</v>
      </c>
      <c r="E72" s="2091" t="s">
        <v>2462</v>
      </c>
      <c r="F72" s="2091" t="s">
        <v>2463</v>
      </c>
      <c r="G72" s="2091" t="s">
        <v>2464</v>
      </c>
      <c r="H72" s="2091" t="s">
        <v>24</v>
      </c>
      <c r="I72" s="2091" t="s">
        <v>706</v>
      </c>
    </row>
    <row r="73" spans="1:9" ht="11.25" customHeight="1">
      <c r="A73" s="2091" t="s">
        <v>2181</v>
      </c>
      <c r="B73" s="2091" t="s">
        <v>14</v>
      </c>
      <c r="C73" s="2091" t="s">
        <v>2465</v>
      </c>
      <c r="D73" s="2091" t="s">
        <v>2466</v>
      </c>
      <c r="E73" s="2091" t="s">
        <v>2467</v>
      </c>
      <c r="F73" s="2091" t="s">
        <v>2468</v>
      </c>
      <c r="G73" s="2091" t="s">
        <v>2469</v>
      </c>
      <c r="H73" s="2091" t="s">
        <v>24</v>
      </c>
      <c r="I73" s="2091" t="s">
        <v>706</v>
      </c>
    </row>
    <row r="74" spans="1:9" ht="11.25" customHeight="1">
      <c r="A74" s="2091" t="s">
        <v>2181</v>
      </c>
      <c r="B74" s="2091" t="s">
        <v>14</v>
      </c>
      <c r="C74" s="2091" t="s">
        <v>2470</v>
      </c>
      <c r="D74" s="2091" t="s">
        <v>2471</v>
      </c>
      <c r="E74" s="2091" t="s">
        <v>2472</v>
      </c>
      <c r="F74" s="2091" t="s">
        <v>2361</v>
      </c>
      <c r="G74" s="2091" t="s">
        <v>24</v>
      </c>
      <c r="H74" s="2091" t="s">
        <v>24</v>
      </c>
      <c r="I74" s="2091" t="s">
        <v>706</v>
      </c>
    </row>
    <row r="75" spans="1:9" ht="11.25" customHeight="1">
      <c r="A75" s="2091" t="s">
        <v>2181</v>
      </c>
      <c r="B75" s="2091" t="s">
        <v>14</v>
      </c>
      <c r="C75" s="2091" t="s">
        <v>2473</v>
      </c>
      <c r="D75" s="2091" t="s">
        <v>2474</v>
      </c>
      <c r="E75" s="2091" t="s">
        <v>2475</v>
      </c>
      <c r="F75" s="2091" t="s">
        <v>2226</v>
      </c>
      <c r="G75" s="2091" t="s">
        <v>2476</v>
      </c>
      <c r="H75" s="2091" t="s">
        <v>24</v>
      </c>
      <c r="I75" s="2091" t="s">
        <v>706</v>
      </c>
    </row>
    <row r="76" spans="1:9" ht="11.25" customHeight="1">
      <c r="A76" s="2091" t="s">
        <v>2181</v>
      </c>
      <c r="B76" s="2091" t="s">
        <v>14</v>
      </c>
      <c r="C76" s="2091" t="s">
        <v>2477</v>
      </c>
      <c r="D76" s="2091" t="s">
        <v>2478</v>
      </c>
      <c r="E76" s="2091" t="s">
        <v>2479</v>
      </c>
      <c r="F76" s="2091" t="s">
        <v>2338</v>
      </c>
      <c r="G76" s="2091" t="s">
        <v>2480</v>
      </c>
      <c r="H76" s="2091" t="s">
        <v>24</v>
      </c>
      <c r="I76" s="2091" t="s">
        <v>706</v>
      </c>
    </row>
    <row r="77" spans="1:9" ht="11.25" customHeight="1">
      <c r="A77" s="2091" t="s">
        <v>2181</v>
      </c>
      <c r="B77" s="2091" t="s">
        <v>14</v>
      </c>
      <c r="C77" s="2091" t="s">
        <v>2481</v>
      </c>
      <c r="D77" s="2091" t="s">
        <v>2482</v>
      </c>
      <c r="E77" s="2091" t="s">
        <v>2483</v>
      </c>
      <c r="F77" s="2091" t="s">
        <v>2250</v>
      </c>
      <c r="G77" s="2091" t="s">
        <v>2484</v>
      </c>
      <c r="H77" s="2091" t="s">
        <v>24</v>
      </c>
      <c r="I77" s="2091" t="s">
        <v>706</v>
      </c>
    </row>
    <row r="78" spans="1:9" ht="11.25" customHeight="1">
      <c r="A78" s="2091" t="s">
        <v>2181</v>
      </c>
      <c r="B78" s="2091" t="s">
        <v>14</v>
      </c>
      <c r="C78" s="2091" t="s">
        <v>2485</v>
      </c>
      <c r="D78" s="2091" t="s">
        <v>2486</v>
      </c>
      <c r="E78" s="2091" t="s">
        <v>2487</v>
      </c>
      <c r="F78" s="2091" t="s">
        <v>2329</v>
      </c>
      <c r="G78" s="2091" t="s">
        <v>2488</v>
      </c>
      <c r="H78" s="2091" t="s">
        <v>24</v>
      </c>
      <c r="I78" s="2091" t="s">
        <v>706</v>
      </c>
    </row>
    <row r="79" spans="1:9" ht="11.25" customHeight="1">
      <c r="A79" s="2091" t="s">
        <v>2181</v>
      </c>
      <c r="B79" s="2091" t="s">
        <v>14</v>
      </c>
      <c r="C79" s="2091" t="s">
        <v>2489</v>
      </c>
      <c r="D79" s="2091" t="s">
        <v>2490</v>
      </c>
      <c r="E79" s="2091" t="s">
        <v>2491</v>
      </c>
      <c r="F79" s="2091" t="s">
        <v>2492</v>
      </c>
      <c r="G79" s="2091" t="s">
        <v>2493</v>
      </c>
      <c r="H79" s="2091" t="s">
        <v>24</v>
      </c>
      <c r="I79" s="2091" t="s">
        <v>706</v>
      </c>
    </row>
    <row r="80" spans="1:9" ht="11.25" customHeight="1">
      <c r="A80" s="2091" t="s">
        <v>2181</v>
      </c>
      <c r="B80" s="2091" t="s">
        <v>14</v>
      </c>
      <c r="C80" s="2091" t="s">
        <v>2494</v>
      </c>
      <c r="D80" s="2091" t="s">
        <v>2495</v>
      </c>
      <c r="E80" s="2091" t="s">
        <v>2496</v>
      </c>
      <c r="F80" s="2091" t="s">
        <v>2361</v>
      </c>
      <c r="G80" s="2091" t="s">
        <v>24</v>
      </c>
      <c r="H80" s="2091" t="s">
        <v>24</v>
      </c>
      <c r="I80" s="2091" t="s">
        <v>706</v>
      </c>
    </row>
    <row r="81" spans="1:9" ht="11.25" customHeight="1">
      <c r="A81" s="2091" t="s">
        <v>2181</v>
      </c>
      <c r="B81" s="2091" t="s">
        <v>14</v>
      </c>
      <c r="C81" s="2091" t="s">
        <v>2497</v>
      </c>
      <c r="D81" s="2091" t="s">
        <v>2498</v>
      </c>
      <c r="E81" s="2091" t="s">
        <v>2499</v>
      </c>
      <c r="F81" s="2091" t="s">
        <v>2500</v>
      </c>
      <c r="G81" s="2091" t="s">
        <v>2501</v>
      </c>
      <c r="H81" s="2091" t="s">
        <v>24</v>
      </c>
      <c r="I81" s="2091" t="s">
        <v>706</v>
      </c>
    </row>
    <row r="82" spans="1:9" ht="11.25" customHeight="1">
      <c r="A82" s="2091" t="s">
        <v>2181</v>
      </c>
      <c r="B82" s="2091" t="s">
        <v>14</v>
      </c>
      <c r="C82" s="2091" t="s">
        <v>2502</v>
      </c>
      <c r="D82" s="2091" t="s">
        <v>2503</v>
      </c>
      <c r="E82" s="2091" t="s">
        <v>2504</v>
      </c>
      <c r="F82" s="2091" t="s">
        <v>2463</v>
      </c>
      <c r="G82" s="2091" t="s">
        <v>2505</v>
      </c>
      <c r="H82" s="2091" t="s">
        <v>24</v>
      </c>
      <c r="I82" s="2091" t="s">
        <v>706</v>
      </c>
    </row>
    <row r="83" spans="1:9" ht="11.25" customHeight="1">
      <c r="A83" s="2091" t="s">
        <v>2181</v>
      </c>
      <c r="B83" s="2091" t="s">
        <v>14</v>
      </c>
      <c r="C83" s="2091" t="s">
        <v>2506</v>
      </c>
      <c r="D83" s="2091" t="s">
        <v>2507</v>
      </c>
      <c r="E83" s="2091" t="s">
        <v>2508</v>
      </c>
      <c r="F83" s="2091" t="s">
        <v>2317</v>
      </c>
      <c r="G83" s="2091" t="s">
        <v>24</v>
      </c>
      <c r="H83" s="2091" t="s">
        <v>24</v>
      </c>
      <c r="I83" s="2091" t="s">
        <v>706</v>
      </c>
    </row>
    <row r="84" spans="1:9" ht="11.25" customHeight="1">
      <c r="A84" s="2091" t="s">
        <v>2181</v>
      </c>
      <c r="B84" s="2091" t="s">
        <v>14</v>
      </c>
      <c r="C84" s="2091" t="s">
        <v>2509</v>
      </c>
      <c r="D84" s="2091" t="s">
        <v>2510</v>
      </c>
      <c r="E84" s="2091" t="s">
        <v>2511</v>
      </c>
      <c r="F84" s="2091" t="s">
        <v>2512</v>
      </c>
      <c r="G84" s="2091" t="s">
        <v>24</v>
      </c>
      <c r="H84" s="2091" t="s">
        <v>24</v>
      </c>
      <c r="I84" s="2091" t="s">
        <v>706</v>
      </c>
    </row>
    <row r="85" spans="1:9" ht="11.25" customHeight="1">
      <c r="A85" s="2091" t="s">
        <v>2181</v>
      </c>
      <c r="B85" s="2091" t="s">
        <v>14</v>
      </c>
      <c r="C85" s="2091" t="s">
        <v>2513</v>
      </c>
      <c r="D85" s="2091" t="s">
        <v>2514</v>
      </c>
      <c r="E85" s="2091" t="s">
        <v>2515</v>
      </c>
      <c r="F85" s="2091" t="s">
        <v>2255</v>
      </c>
      <c r="G85" s="2091" t="s">
        <v>2516</v>
      </c>
      <c r="H85" s="2091" t="s">
        <v>24</v>
      </c>
      <c r="I85" s="2091" t="s">
        <v>706</v>
      </c>
    </row>
    <row r="86" spans="1:9" ht="11.25" customHeight="1">
      <c r="A86" s="2091" t="s">
        <v>2181</v>
      </c>
      <c r="B86" s="2091" t="s">
        <v>14</v>
      </c>
      <c r="C86" s="2091" t="s">
        <v>2517</v>
      </c>
      <c r="D86" s="2091" t="s">
        <v>2518</v>
      </c>
      <c r="E86" s="2091" t="s">
        <v>2519</v>
      </c>
      <c r="F86" s="2091" t="s">
        <v>2455</v>
      </c>
      <c r="G86" s="2091" t="s">
        <v>2520</v>
      </c>
      <c r="H86" s="2091" t="s">
        <v>24</v>
      </c>
      <c r="I86" s="2091" t="s">
        <v>706</v>
      </c>
    </row>
    <row r="87" spans="1:9" ht="11.25" customHeight="1">
      <c r="A87" s="2091" t="s">
        <v>2181</v>
      </c>
      <c r="B87" s="2091" t="s">
        <v>14</v>
      </c>
      <c r="C87" s="2091" t="s">
        <v>2521</v>
      </c>
      <c r="D87" s="2091" t="s">
        <v>2522</v>
      </c>
      <c r="E87" s="2091" t="s">
        <v>2523</v>
      </c>
      <c r="F87" s="2091" t="s">
        <v>2492</v>
      </c>
      <c r="G87" s="2091" t="s">
        <v>24</v>
      </c>
      <c r="H87" s="2091" t="s">
        <v>24</v>
      </c>
      <c r="I87" s="2091" t="s">
        <v>706</v>
      </c>
    </row>
    <row r="88" spans="1:9" ht="11.25" customHeight="1">
      <c r="A88" s="2091" t="s">
        <v>2181</v>
      </c>
      <c r="B88" s="2091" t="s">
        <v>14</v>
      </c>
      <c r="C88" s="2091" t="s">
        <v>2524</v>
      </c>
      <c r="D88" s="2091" t="s">
        <v>2525</v>
      </c>
      <c r="E88" s="2091" t="s">
        <v>2526</v>
      </c>
      <c r="F88" s="2091" t="s">
        <v>2338</v>
      </c>
      <c r="G88" s="2091" t="s">
        <v>2527</v>
      </c>
      <c r="H88" s="2091" t="s">
        <v>24</v>
      </c>
      <c r="I88" s="2091" t="s">
        <v>706</v>
      </c>
    </row>
    <row r="89" spans="1:9" ht="11.25" customHeight="1">
      <c r="A89" s="2091" t="s">
        <v>2181</v>
      </c>
      <c r="B89" s="2091" t="s">
        <v>14</v>
      </c>
      <c r="C89" s="2091" t="s">
        <v>2528</v>
      </c>
      <c r="D89" s="2091" t="s">
        <v>2529</v>
      </c>
      <c r="E89" s="2091" t="s">
        <v>2530</v>
      </c>
      <c r="F89" s="2091" t="s">
        <v>2250</v>
      </c>
      <c r="G89" s="2091" t="s">
        <v>2531</v>
      </c>
      <c r="H89" s="2091" t="s">
        <v>24</v>
      </c>
      <c r="I89" s="2091" t="s">
        <v>706</v>
      </c>
    </row>
    <row r="90" spans="1:9" ht="11.25" customHeight="1">
      <c r="A90" s="2091" t="s">
        <v>2181</v>
      </c>
      <c r="B90" s="2091" t="s">
        <v>14</v>
      </c>
      <c r="C90" s="2091" t="s">
        <v>2532</v>
      </c>
      <c r="D90" s="2091" t="s">
        <v>2533</v>
      </c>
      <c r="E90" s="2091" t="s">
        <v>2534</v>
      </c>
      <c r="F90" s="2091" t="s">
        <v>2535</v>
      </c>
      <c r="G90" s="2091" t="s">
        <v>24</v>
      </c>
      <c r="H90" s="2091" t="s">
        <v>24</v>
      </c>
      <c r="I90" s="2091" t="s">
        <v>706</v>
      </c>
    </row>
    <row r="91" spans="1:9" ht="11.25" customHeight="1">
      <c r="A91" s="2091" t="s">
        <v>2181</v>
      </c>
      <c r="B91" s="2091" t="s">
        <v>14</v>
      </c>
      <c r="C91" s="2091" t="s">
        <v>2536</v>
      </c>
      <c r="D91" s="2091" t="s">
        <v>2537</v>
      </c>
      <c r="E91" s="2091" t="s">
        <v>2538</v>
      </c>
      <c r="F91" s="2091" t="s">
        <v>2343</v>
      </c>
      <c r="G91" s="2091" t="s">
        <v>24</v>
      </c>
      <c r="H91" s="2091" t="s">
        <v>24</v>
      </c>
      <c r="I91" s="2091" t="s">
        <v>706</v>
      </c>
    </row>
    <row r="92" spans="1:9" ht="11.25" customHeight="1">
      <c r="A92" s="2091" t="s">
        <v>2181</v>
      </c>
      <c r="B92" s="2091" t="s">
        <v>14</v>
      </c>
      <c r="C92" s="2091" t="s">
        <v>2539</v>
      </c>
      <c r="D92" s="2091" t="s">
        <v>2540</v>
      </c>
      <c r="E92" s="2091" t="s">
        <v>2541</v>
      </c>
      <c r="F92" s="2091" t="s">
        <v>2451</v>
      </c>
      <c r="G92" s="2091" t="s">
        <v>24</v>
      </c>
      <c r="H92" s="2091" t="s">
        <v>24</v>
      </c>
      <c r="I92" s="2091" t="s">
        <v>706</v>
      </c>
    </row>
    <row r="93" spans="1:9" ht="11.25" customHeight="1">
      <c r="A93" s="2091" t="s">
        <v>2181</v>
      </c>
      <c r="B93" s="2091" t="s">
        <v>14</v>
      </c>
      <c r="C93" s="2091" t="s">
        <v>2542</v>
      </c>
      <c r="D93" s="2091" t="s">
        <v>2543</v>
      </c>
      <c r="E93" s="2091" t="s">
        <v>2544</v>
      </c>
      <c r="F93" s="2091" t="s">
        <v>2372</v>
      </c>
      <c r="G93" s="2091" t="s">
        <v>24</v>
      </c>
      <c r="H93" s="2091" t="s">
        <v>24</v>
      </c>
      <c r="I93" s="2091" t="s">
        <v>706</v>
      </c>
    </row>
    <row r="94" spans="1:9" ht="11.25" customHeight="1">
      <c r="A94" s="2091" t="s">
        <v>2181</v>
      </c>
      <c r="B94" s="2091" t="s">
        <v>14</v>
      </c>
      <c r="C94" s="2091" t="s">
        <v>2545</v>
      </c>
      <c r="D94" s="2091" t="s">
        <v>2546</v>
      </c>
      <c r="E94" s="2091" t="s">
        <v>2547</v>
      </c>
      <c r="F94" s="2091" t="s">
        <v>2451</v>
      </c>
      <c r="G94" s="2091" t="s">
        <v>24</v>
      </c>
      <c r="H94" s="2091" t="s">
        <v>24</v>
      </c>
      <c r="I94" s="2091" t="s">
        <v>706</v>
      </c>
    </row>
    <row r="95" spans="1:9" ht="11.25" customHeight="1">
      <c r="A95" s="2091" t="s">
        <v>2181</v>
      </c>
      <c r="B95" s="2091" t="s">
        <v>14</v>
      </c>
      <c r="C95" s="2091" t="s">
        <v>2548</v>
      </c>
      <c r="D95" s="2091" t="s">
        <v>2549</v>
      </c>
      <c r="E95" s="2091" t="s">
        <v>2550</v>
      </c>
      <c r="F95" s="2091" t="s">
        <v>2455</v>
      </c>
      <c r="G95" s="2091" t="s">
        <v>2551</v>
      </c>
      <c r="H95" s="2091" t="s">
        <v>24</v>
      </c>
      <c r="I95" s="2091" t="s">
        <v>706</v>
      </c>
    </row>
    <row r="96" spans="1:9" ht="11.25" customHeight="1">
      <c r="A96" s="2091" t="s">
        <v>2181</v>
      </c>
      <c r="B96" s="2091" t="s">
        <v>14</v>
      </c>
      <c r="C96" s="2091" t="s">
        <v>2552</v>
      </c>
      <c r="D96" s="2091" t="s">
        <v>2553</v>
      </c>
      <c r="E96" s="2091" t="s">
        <v>2554</v>
      </c>
      <c r="F96" s="2091" t="s">
        <v>2325</v>
      </c>
      <c r="G96" s="2091" t="s">
        <v>2555</v>
      </c>
      <c r="H96" s="2091" t="s">
        <v>24</v>
      </c>
      <c r="I96" s="2091" t="s">
        <v>706</v>
      </c>
    </row>
    <row r="97" spans="1:9" ht="11.25" customHeight="1">
      <c r="A97" s="2091" t="s">
        <v>2181</v>
      </c>
      <c r="B97" s="2091" t="s">
        <v>14</v>
      </c>
      <c r="C97" s="2091" t="s">
        <v>2556</v>
      </c>
      <c r="D97" s="2091" t="s">
        <v>2557</v>
      </c>
      <c r="E97" s="2091" t="s">
        <v>2558</v>
      </c>
      <c r="F97" s="2091" t="s">
        <v>2317</v>
      </c>
      <c r="G97" s="2091" t="s">
        <v>2559</v>
      </c>
      <c r="H97" s="2091" t="s">
        <v>24</v>
      </c>
      <c r="I97" s="2091" t="s">
        <v>706</v>
      </c>
    </row>
    <row r="98" spans="1:9" ht="11.25" customHeight="1">
      <c r="A98" s="2091" t="s">
        <v>2181</v>
      </c>
      <c r="B98" s="2091" t="s">
        <v>14</v>
      </c>
      <c r="C98" s="2091" t="s">
        <v>2560</v>
      </c>
      <c r="D98" s="2091" t="s">
        <v>2561</v>
      </c>
      <c r="E98" s="2091" t="s">
        <v>2562</v>
      </c>
      <c r="F98" s="2091" t="s">
        <v>2563</v>
      </c>
      <c r="G98" s="2091" t="s">
        <v>24</v>
      </c>
      <c r="H98" s="2091" t="s">
        <v>24</v>
      </c>
      <c r="I98" s="2091" t="s">
        <v>706</v>
      </c>
    </row>
    <row r="99" spans="1:9" ht="11.25" customHeight="1">
      <c r="A99" s="2091" t="s">
        <v>2181</v>
      </c>
      <c r="B99" s="2091" t="s">
        <v>14</v>
      </c>
      <c r="C99" s="2091" t="s">
        <v>2564</v>
      </c>
      <c r="D99" s="2091" t="s">
        <v>2565</v>
      </c>
      <c r="E99" s="2091" t="s">
        <v>2566</v>
      </c>
      <c r="F99" s="2091" t="s">
        <v>2463</v>
      </c>
      <c r="G99" s="2091" t="s">
        <v>24</v>
      </c>
      <c r="H99" s="2091" t="s">
        <v>24</v>
      </c>
      <c r="I99" s="2091" t="s">
        <v>706</v>
      </c>
    </row>
    <row r="100" spans="1:9" ht="11.25" customHeight="1">
      <c r="A100" s="2091" t="s">
        <v>2181</v>
      </c>
      <c r="B100" s="2091" t="s">
        <v>14</v>
      </c>
      <c r="C100" s="2091" t="s">
        <v>2567</v>
      </c>
      <c r="D100" s="2091" t="s">
        <v>2568</v>
      </c>
      <c r="E100" s="2091" t="s">
        <v>2569</v>
      </c>
      <c r="F100" s="2091" t="s">
        <v>2570</v>
      </c>
      <c r="G100" s="2091" t="s">
        <v>24</v>
      </c>
      <c r="H100" s="2091" t="s">
        <v>24</v>
      </c>
      <c r="I100" s="2091" t="s">
        <v>706</v>
      </c>
    </row>
    <row r="101" spans="1:9" ht="11.25" customHeight="1">
      <c r="A101" s="2091" t="s">
        <v>2181</v>
      </c>
      <c r="B101" s="2091" t="s">
        <v>14</v>
      </c>
      <c r="C101" s="2091" t="s">
        <v>2571</v>
      </c>
      <c r="D101" s="2091" t="s">
        <v>2572</v>
      </c>
      <c r="E101" s="2091" t="s">
        <v>2573</v>
      </c>
      <c r="F101" s="2091" t="s">
        <v>2226</v>
      </c>
      <c r="G101" s="2091" t="s">
        <v>2574</v>
      </c>
      <c r="H101" s="2091" t="s">
        <v>24</v>
      </c>
      <c r="I101" s="2091" t="s">
        <v>706</v>
      </c>
    </row>
    <row r="102" spans="1:9" ht="11.25" customHeight="1">
      <c r="A102" s="2091" t="s">
        <v>2181</v>
      </c>
      <c r="B102" s="2091" t="s">
        <v>14</v>
      </c>
      <c r="C102" s="2091" t="s">
        <v>2575</v>
      </c>
      <c r="D102" s="2091" t="s">
        <v>2576</v>
      </c>
      <c r="E102" s="2091" t="s">
        <v>2577</v>
      </c>
      <c r="F102" s="2091" t="s">
        <v>2578</v>
      </c>
      <c r="G102" s="2091" t="s">
        <v>24</v>
      </c>
      <c r="H102" s="2091" t="s">
        <v>24</v>
      </c>
      <c r="I102" s="2091" t="s">
        <v>706</v>
      </c>
    </row>
    <row r="103" spans="1:9" ht="11.25" customHeight="1">
      <c r="A103" s="2091" t="s">
        <v>2181</v>
      </c>
      <c r="B103" s="2091" t="s">
        <v>14</v>
      </c>
      <c r="C103" s="2091" t="s">
        <v>2579</v>
      </c>
      <c r="D103" s="2091" t="s">
        <v>2580</v>
      </c>
      <c r="E103" s="2091" t="s">
        <v>2581</v>
      </c>
      <c r="F103" s="2091" t="s">
        <v>2512</v>
      </c>
      <c r="G103" s="2091" t="s">
        <v>2582</v>
      </c>
      <c r="H103" s="2091" t="s">
        <v>24</v>
      </c>
      <c r="I103" s="2091" t="s">
        <v>706</v>
      </c>
    </row>
    <row r="104" spans="1:9" ht="11.25" customHeight="1">
      <c r="A104" s="2091" t="s">
        <v>2181</v>
      </c>
      <c r="B104" s="2091" t="s">
        <v>14</v>
      </c>
      <c r="C104" s="2091" t="s">
        <v>2583</v>
      </c>
      <c r="D104" s="2091" t="s">
        <v>2584</v>
      </c>
      <c r="E104" s="2091" t="s">
        <v>2585</v>
      </c>
      <c r="F104" s="2091" t="s">
        <v>2451</v>
      </c>
      <c r="G104" s="2091" t="s">
        <v>24</v>
      </c>
      <c r="H104" s="2091" t="s">
        <v>24</v>
      </c>
      <c r="I104" s="2091" t="s">
        <v>706</v>
      </c>
    </row>
    <row r="105" spans="1:9" ht="11.25" customHeight="1">
      <c r="A105" s="2091" t="s">
        <v>2181</v>
      </c>
      <c r="B105" s="2091" t="s">
        <v>14</v>
      </c>
      <c r="C105" s="2091" t="s">
        <v>2586</v>
      </c>
      <c r="D105" s="2091" t="s">
        <v>2587</v>
      </c>
      <c r="E105" s="2091" t="s">
        <v>2588</v>
      </c>
      <c r="F105" s="2091" t="s">
        <v>2372</v>
      </c>
      <c r="G105" s="2091" t="s">
        <v>24</v>
      </c>
      <c r="H105" s="2091" t="s">
        <v>2589</v>
      </c>
      <c r="I105" s="2091" t="s">
        <v>706</v>
      </c>
    </row>
    <row r="106" spans="1:9" ht="11.25" customHeight="1">
      <c r="A106" s="2091" t="s">
        <v>2181</v>
      </c>
      <c r="B106" s="2091" t="s">
        <v>14</v>
      </c>
      <c r="C106" s="2091" t="s">
        <v>2590</v>
      </c>
      <c r="D106" s="2091" t="s">
        <v>2591</v>
      </c>
      <c r="E106" s="2091" t="s">
        <v>2592</v>
      </c>
      <c r="F106" s="2091" t="s">
        <v>2492</v>
      </c>
      <c r="G106" s="2091" t="s">
        <v>2593</v>
      </c>
      <c r="H106" s="2091" t="s">
        <v>24</v>
      </c>
      <c r="I106" s="2091" t="s">
        <v>706</v>
      </c>
    </row>
    <row r="107" spans="1:9" ht="11.25" customHeight="1">
      <c r="A107" s="2091" t="s">
        <v>2181</v>
      </c>
      <c r="B107" s="2091" t="s">
        <v>14</v>
      </c>
      <c r="C107" s="2091" t="s">
        <v>2594</v>
      </c>
      <c r="D107" s="2091" t="s">
        <v>2595</v>
      </c>
      <c r="E107" s="2091" t="s">
        <v>2596</v>
      </c>
      <c r="F107" s="2091" t="s">
        <v>2492</v>
      </c>
      <c r="G107" s="2091" t="s">
        <v>2597</v>
      </c>
      <c r="H107" s="2091" t="s">
        <v>24</v>
      </c>
      <c r="I107" s="2091" t="s">
        <v>706</v>
      </c>
    </row>
    <row r="108" spans="1:9" ht="11.25" customHeight="1">
      <c r="A108" s="2091" t="s">
        <v>2181</v>
      </c>
      <c r="B108" s="2091" t="s">
        <v>14</v>
      </c>
      <c r="C108" s="2091" t="s">
        <v>2598</v>
      </c>
      <c r="D108" s="2091" t="s">
        <v>2599</v>
      </c>
      <c r="E108" s="2091" t="s">
        <v>2600</v>
      </c>
      <c r="F108" s="2091" t="s">
        <v>2601</v>
      </c>
      <c r="G108" s="2091" t="s">
        <v>24</v>
      </c>
      <c r="H108" s="2091" t="s">
        <v>24</v>
      </c>
      <c r="I108" s="2091" t="s">
        <v>706</v>
      </c>
    </row>
    <row r="109" spans="1:9" ht="11.25" customHeight="1">
      <c r="A109" s="2091" t="s">
        <v>2181</v>
      </c>
      <c r="B109" s="2091" t="s">
        <v>14</v>
      </c>
      <c r="C109" s="2091" t="s">
        <v>2602</v>
      </c>
      <c r="D109" s="2091" t="s">
        <v>2603</v>
      </c>
      <c r="E109" s="2091" t="s">
        <v>2604</v>
      </c>
      <c r="F109" s="2091" t="s">
        <v>2605</v>
      </c>
      <c r="G109" s="2091" t="s">
        <v>2606</v>
      </c>
      <c r="H109" s="2091" t="s">
        <v>24</v>
      </c>
      <c r="I109" s="2091" t="s">
        <v>706</v>
      </c>
    </row>
    <row r="110" spans="1:9" ht="11.25" customHeight="1">
      <c r="A110" s="2091" t="s">
        <v>2181</v>
      </c>
      <c r="B110" s="2091" t="s">
        <v>14</v>
      </c>
      <c r="C110" s="2091" t="s">
        <v>2607</v>
      </c>
      <c r="D110" s="2091" t="s">
        <v>2608</v>
      </c>
      <c r="E110" s="2091" t="s">
        <v>2609</v>
      </c>
      <c r="F110" s="2091" t="s">
        <v>2610</v>
      </c>
      <c r="G110" s="2091" t="s">
        <v>24</v>
      </c>
      <c r="H110" s="2091" t="s">
        <v>24</v>
      </c>
      <c r="I110" s="2091" t="s">
        <v>706</v>
      </c>
    </row>
    <row r="111" spans="1:9" ht="11.25" customHeight="1">
      <c r="A111" s="2091" t="s">
        <v>2181</v>
      </c>
      <c r="B111" s="2091" t="s">
        <v>14</v>
      </c>
      <c r="C111" s="2091" t="s">
        <v>2611</v>
      </c>
      <c r="D111" s="2091" t="s">
        <v>2612</v>
      </c>
      <c r="E111" s="2091" t="s">
        <v>2613</v>
      </c>
      <c r="F111" s="2091" t="s">
        <v>2222</v>
      </c>
      <c r="G111" s="2091" t="s">
        <v>24</v>
      </c>
      <c r="H111" s="2091" t="s">
        <v>24</v>
      </c>
      <c r="I111" s="2091" t="s">
        <v>706</v>
      </c>
    </row>
    <row r="112" spans="1:9" ht="11.25" customHeight="1">
      <c r="A112" s="2091" t="s">
        <v>2181</v>
      </c>
      <c r="B112" s="2091" t="s">
        <v>14</v>
      </c>
      <c r="C112" s="2091" t="s">
        <v>2614</v>
      </c>
      <c r="D112" s="2091" t="s">
        <v>2615</v>
      </c>
      <c r="E112" s="2091" t="s">
        <v>2616</v>
      </c>
      <c r="F112" s="2091" t="s">
        <v>2376</v>
      </c>
      <c r="G112" s="2091" t="s">
        <v>24</v>
      </c>
      <c r="H112" s="2091" t="s">
        <v>24</v>
      </c>
      <c r="I112" s="2091" t="s">
        <v>706</v>
      </c>
    </row>
    <row r="113" spans="1:9" ht="11.25" customHeight="1">
      <c r="A113" s="2091" t="s">
        <v>2181</v>
      </c>
      <c r="B113" s="2091" t="s">
        <v>14</v>
      </c>
      <c r="C113" s="2091" t="s">
        <v>2617</v>
      </c>
      <c r="D113" s="2091" t="s">
        <v>2618</v>
      </c>
      <c r="E113" s="2091" t="s">
        <v>2619</v>
      </c>
      <c r="F113" s="2091" t="s">
        <v>2620</v>
      </c>
      <c r="G113" s="2091" t="s">
        <v>2621</v>
      </c>
      <c r="H113" s="2091" t="s">
        <v>24</v>
      </c>
      <c r="I113" s="2091" t="s">
        <v>706</v>
      </c>
    </row>
    <row r="114" spans="1:9" ht="11.25" customHeight="1">
      <c r="A114" s="2091" t="s">
        <v>2181</v>
      </c>
      <c r="B114" s="2091" t="s">
        <v>14</v>
      </c>
      <c r="C114" s="2091" t="s">
        <v>2622</v>
      </c>
      <c r="D114" s="2091" t="s">
        <v>2623</v>
      </c>
      <c r="E114" s="2091" t="s">
        <v>2624</v>
      </c>
      <c r="F114" s="2091" t="s">
        <v>2185</v>
      </c>
      <c r="G114" s="2091" t="s">
        <v>24</v>
      </c>
      <c r="H114" s="2091" t="s">
        <v>24</v>
      </c>
      <c r="I114" s="2091" t="s">
        <v>706</v>
      </c>
    </row>
    <row r="115" spans="1:9" ht="11.25" customHeight="1">
      <c r="A115" s="2091" t="s">
        <v>2181</v>
      </c>
      <c r="B115" s="2091" t="s">
        <v>14</v>
      </c>
      <c r="C115" s="2091" t="s">
        <v>2625</v>
      </c>
      <c r="D115" s="2091" t="s">
        <v>2626</v>
      </c>
      <c r="E115" s="2091" t="s">
        <v>2627</v>
      </c>
      <c r="F115" s="2091" t="s">
        <v>2268</v>
      </c>
      <c r="G115" s="2091" t="s">
        <v>24</v>
      </c>
      <c r="H115" s="2091" t="s">
        <v>24</v>
      </c>
      <c r="I115" s="2091" t="s">
        <v>706</v>
      </c>
    </row>
    <row r="116" spans="1:9" ht="11.25" customHeight="1">
      <c r="A116" s="2091" t="s">
        <v>2181</v>
      </c>
      <c r="B116" s="2091" t="s">
        <v>14</v>
      </c>
      <c r="C116" s="2091" t="s">
        <v>2628</v>
      </c>
      <c r="D116" s="2091" t="s">
        <v>2629</v>
      </c>
      <c r="E116" s="2091" t="s">
        <v>2630</v>
      </c>
      <c r="F116" s="2091" t="s">
        <v>2631</v>
      </c>
      <c r="G116" s="2091" t="s">
        <v>2632</v>
      </c>
      <c r="H116" s="2091" t="s">
        <v>24</v>
      </c>
      <c r="I116" s="2091" t="s">
        <v>706</v>
      </c>
    </row>
    <row r="117" spans="1:9" ht="11.25" customHeight="1">
      <c r="A117" s="2091" t="s">
        <v>2181</v>
      </c>
      <c r="B117" s="2091" t="s">
        <v>14</v>
      </c>
      <c r="C117" s="2091" t="s">
        <v>2633</v>
      </c>
      <c r="D117" s="2091" t="s">
        <v>2634</v>
      </c>
      <c r="E117" s="2091" t="s">
        <v>2635</v>
      </c>
      <c r="F117" s="2091" t="s">
        <v>2361</v>
      </c>
      <c r="G117" s="2091" t="s">
        <v>2636</v>
      </c>
      <c r="H117" s="2091" t="s">
        <v>24</v>
      </c>
      <c r="I117" s="2091" t="s">
        <v>706</v>
      </c>
    </row>
    <row r="118" spans="1:9" ht="11.25" customHeight="1">
      <c r="A118" s="2091" t="s">
        <v>2181</v>
      </c>
      <c r="B118" s="2091" t="s">
        <v>14</v>
      </c>
      <c r="C118" s="2091" t="s">
        <v>2637</v>
      </c>
      <c r="D118" s="2091" t="s">
        <v>2638</v>
      </c>
      <c r="E118" s="2091" t="s">
        <v>2393</v>
      </c>
      <c r="F118" s="2091" t="s">
        <v>2639</v>
      </c>
      <c r="G118" s="2091" t="s">
        <v>2640</v>
      </c>
      <c r="H118" s="2091" t="s">
        <v>24</v>
      </c>
      <c r="I118" s="2091" t="s">
        <v>706</v>
      </c>
    </row>
    <row r="119" spans="1:9" ht="11.25" customHeight="1">
      <c r="A119" s="2091" t="s">
        <v>2181</v>
      </c>
      <c r="B119" s="2091" t="s">
        <v>14</v>
      </c>
      <c r="C119" s="2091" t="s">
        <v>2641</v>
      </c>
      <c r="D119" s="2091" t="s">
        <v>2642</v>
      </c>
      <c r="E119" s="2091" t="s">
        <v>2643</v>
      </c>
      <c r="F119" s="2091" t="s">
        <v>2278</v>
      </c>
      <c r="G119" s="2091" t="s">
        <v>24</v>
      </c>
      <c r="H119" s="2091" t="s">
        <v>24</v>
      </c>
      <c r="I119" s="2091" t="s">
        <v>706</v>
      </c>
    </row>
    <row r="120" spans="1:9" ht="11.25" customHeight="1">
      <c r="A120" s="2091" t="s">
        <v>2181</v>
      </c>
      <c r="B120" s="2091" t="s">
        <v>14</v>
      </c>
      <c r="C120" s="2091" t="s">
        <v>2644</v>
      </c>
      <c r="D120" s="2091" t="s">
        <v>2645</v>
      </c>
      <c r="E120" s="2091" t="s">
        <v>2646</v>
      </c>
      <c r="F120" s="2091" t="s">
        <v>2429</v>
      </c>
      <c r="G120" s="2091" t="s">
        <v>2647</v>
      </c>
      <c r="H120" s="2091" t="s">
        <v>2648</v>
      </c>
      <c r="I120" s="2091" t="s">
        <v>706</v>
      </c>
    </row>
    <row r="121" spans="1:9" ht="11.25" customHeight="1">
      <c r="A121" s="2091" t="s">
        <v>2181</v>
      </c>
      <c r="B121" s="2091" t="s">
        <v>14</v>
      </c>
      <c r="C121" s="2091" t="s">
        <v>2649</v>
      </c>
      <c r="D121" s="2091" t="s">
        <v>2650</v>
      </c>
      <c r="E121" s="2091" t="s">
        <v>2651</v>
      </c>
      <c r="F121" s="2091" t="s">
        <v>2250</v>
      </c>
      <c r="G121" s="2091" t="s">
        <v>24</v>
      </c>
      <c r="H121" s="2091" t="s">
        <v>24</v>
      </c>
      <c r="I121" s="2091" t="s">
        <v>706</v>
      </c>
    </row>
    <row r="122" spans="1:9" ht="11.25" customHeight="1">
      <c r="A122" s="2091" t="s">
        <v>2181</v>
      </c>
      <c r="B122" s="2091" t="s">
        <v>14</v>
      </c>
      <c r="C122" s="2091" t="s">
        <v>2652</v>
      </c>
      <c r="D122" s="2091" t="s">
        <v>2653</v>
      </c>
      <c r="E122" s="2091" t="s">
        <v>2654</v>
      </c>
      <c r="F122" s="2091" t="s">
        <v>2383</v>
      </c>
      <c r="G122" s="2091" t="s">
        <v>24</v>
      </c>
      <c r="H122" s="2091" t="s">
        <v>24</v>
      </c>
      <c r="I122" s="2091" t="s">
        <v>706</v>
      </c>
    </row>
    <row r="123" spans="1:9" ht="11.25" customHeight="1">
      <c r="A123" s="2091" t="s">
        <v>2181</v>
      </c>
      <c r="B123" s="2091" t="s">
        <v>14</v>
      </c>
      <c r="C123" s="2091" t="s">
        <v>2655</v>
      </c>
      <c r="D123" s="2091" t="s">
        <v>2656</v>
      </c>
      <c r="E123" s="2091" t="s">
        <v>2657</v>
      </c>
      <c r="F123" s="2091" t="s">
        <v>2260</v>
      </c>
      <c r="G123" s="2091" t="s">
        <v>2658</v>
      </c>
      <c r="H123" s="2091" t="s">
        <v>24</v>
      </c>
      <c r="I123" s="2091" t="s">
        <v>706</v>
      </c>
    </row>
    <row r="124" spans="1:9" ht="11.25" customHeight="1">
      <c r="A124" s="2091" t="s">
        <v>2181</v>
      </c>
      <c r="B124" s="2091" t="s">
        <v>14</v>
      </c>
      <c r="C124" s="2091" t="s">
        <v>2659</v>
      </c>
      <c r="D124" s="2091" t="s">
        <v>2660</v>
      </c>
      <c r="E124" s="2091" t="s">
        <v>2661</v>
      </c>
      <c r="F124" s="2091" t="s">
        <v>2317</v>
      </c>
      <c r="G124" s="2091" t="s">
        <v>2662</v>
      </c>
      <c r="H124" s="2091" t="s">
        <v>24</v>
      </c>
      <c r="I124" s="2091" t="s">
        <v>706</v>
      </c>
    </row>
    <row r="125" spans="1:9" ht="11.25" customHeight="1">
      <c r="A125" s="2091" t="s">
        <v>2181</v>
      </c>
      <c r="B125" s="2091" t="s">
        <v>14</v>
      </c>
      <c r="C125" s="2091" t="s">
        <v>2663</v>
      </c>
      <c r="D125" s="2091" t="s">
        <v>2664</v>
      </c>
      <c r="E125" s="2091" t="s">
        <v>2665</v>
      </c>
      <c r="F125" s="2091" t="s">
        <v>2226</v>
      </c>
      <c r="G125" s="2091" t="s">
        <v>24</v>
      </c>
      <c r="H125" s="2091" t="s">
        <v>24</v>
      </c>
      <c r="I125" s="2091" t="s">
        <v>706</v>
      </c>
    </row>
    <row r="126" spans="1:9" ht="11.25" customHeight="1">
      <c r="A126" s="2091" t="s">
        <v>2181</v>
      </c>
      <c r="B126" s="2091" t="s">
        <v>14</v>
      </c>
      <c r="C126" s="2091" t="s">
        <v>2666</v>
      </c>
      <c r="D126" s="2091" t="s">
        <v>2667</v>
      </c>
      <c r="E126" s="2091" t="s">
        <v>2668</v>
      </c>
      <c r="F126" s="2091" t="s">
        <v>2194</v>
      </c>
      <c r="G126" s="2091" t="s">
        <v>24</v>
      </c>
      <c r="H126" s="2091" t="s">
        <v>24</v>
      </c>
      <c r="I126" s="2091" t="s">
        <v>706</v>
      </c>
    </row>
    <row r="127" spans="1:9" ht="11.25" customHeight="1">
      <c r="A127" s="2091" t="s">
        <v>2181</v>
      </c>
      <c r="B127" s="2091" t="s">
        <v>14</v>
      </c>
      <c r="C127" s="2091" t="s">
        <v>2669</v>
      </c>
      <c r="D127" s="2091" t="s">
        <v>2670</v>
      </c>
      <c r="E127" s="2091" t="s">
        <v>2671</v>
      </c>
      <c r="F127" s="2091" t="s">
        <v>2424</v>
      </c>
      <c r="G127" s="2091" t="s">
        <v>24</v>
      </c>
      <c r="H127" s="2091" t="s">
        <v>24</v>
      </c>
      <c r="I127" s="2091" t="s">
        <v>706</v>
      </c>
    </row>
    <row r="128" spans="1:9" ht="11.25" customHeight="1">
      <c r="A128" s="2091" t="s">
        <v>2181</v>
      </c>
      <c r="B128" s="2091" t="s">
        <v>14</v>
      </c>
      <c r="C128" s="2091" t="s">
        <v>2672</v>
      </c>
      <c r="D128" s="2091" t="s">
        <v>2673</v>
      </c>
      <c r="E128" s="2091" t="s">
        <v>2674</v>
      </c>
      <c r="F128" s="2091" t="s">
        <v>2255</v>
      </c>
      <c r="G128" s="2091" t="s">
        <v>2675</v>
      </c>
      <c r="H128" s="2091" t="s">
        <v>24</v>
      </c>
      <c r="I128" s="2091" t="s">
        <v>706</v>
      </c>
    </row>
    <row r="129" spans="1:9" ht="11.25" customHeight="1">
      <c r="A129" s="2091" t="s">
        <v>2181</v>
      </c>
      <c r="B129" s="2091" t="s">
        <v>14</v>
      </c>
      <c r="C129" s="2091" t="s">
        <v>2676</v>
      </c>
      <c r="D129" s="2091" t="s">
        <v>2677</v>
      </c>
      <c r="E129" s="2091" t="s">
        <v>2678</v>
      </c>
      <c r="F129" s="2091" t="s">
        <v>2679</v>
      </c>
      <c r="G129" s="2091" t="s">
        <v>24</v>
      </c>
      <c r="H129" s="2091" t="s">
        <v>24</v>
      </c>
      <c r="I129" s="2091" t="s">
        <v>706</v>
      </c>
    </row>
    <row r="130" spans="1:9" ht="11.25" customHeight="1">
      <c r="A130" s="2091" t="s">
        <v>2181</v>
      </c>
      <c r="B130" s="2091" t="s">
        <v>14</v>
      </c>
      <c r="C130" s="2091" t="s">
        <v>2680</v>
      </c>
      <c r="D130" s="2091" t="s">
        <v>2681</v>
      </c>
      <c r="E130" s="2091" t="s">
        <v>2682</v>
      </c>
      <c r="F130" s="2091" t="s">
        <v>2683</v>
      </c>
      <c r="G130" s="2091" t="s">
        <v>24</v>
      </c>
      <c r="H130" s="2091" t="s">
        <v>24</v>
      </c>
      <c r="I130" s="2091" t="s">
        <v>706</v>
      </c>
    </row>
    <row r="131" spans="1:9" ht="11.25" customHeight="1">
      <c r="A131" s="2091" t="s">
        <v>2181</v>
      </c>
      <c r="B131" s="2091" t="s">
        <v>14</v>
      </c>
      <c r="C131" s="2091" t="s">
        <v>2684</v>
      </c>
      <c r="D131" s="2091" t="s">
        <v>2685</v>
      </c>
      <c r="E131" s="2091" t="s">
        <v>2686</v>
      </c>
      <c r="F131" s="2091" t="s">
        <v>2372</v>
      </c>
      <c r="G131" s="2091" t="s">
        <v>24</v>
      </c>
      <c r="H131" s="2091" t="s">
        <v>24</v>
      </c>
      <c r="I131" s="2091" t="s">
        <v>706</v>
      </c>
    </row>
    <row r="132" spans="1:9" ht="11.25" customHeight="1">
      <c r="A132" s="2091" t="s">
        <v>2181</v>
      </c>
      <c r="B132" s="2091" t="s">
        <v>14</v>
      </c>
      <c r="C132" s="2091" t="s">
        <v>2687</v>
      </c>
      <c r="D132" s="2091" t="s">
        <v>2688</v>
      </c>
      <c r="E132" s="2091" t="s">
        <v>2689</v>
      </c>
      <c r="F132" s="2091" t="s">
        <v>2578</v>
      </c>
      <c r="G132" s="2091" t="s">
        <v>24</v>
      </c>
      <c r="H132" s="2091" t="s">
        <v>24</v>
      </c>
      <c r="I132" s="2091" t="s">
        <v>706</v>
      </c>
    </row>
    <row r="133" spans="1:9" ht="11.25" customHeight="1">
      <c r="A133" s="2091" t="s">
        <v>2181</v>
      </c>
      <c r="B133" s="2091" t="s">
        <v>14</v>
      </c>
      <c r="C133" s="2091" t="s">
        <v>2690</v>
      </c>
      <c r="D133" s="2091" t="s">
        <v>2691</v>
      </c>
      <c r="E133" s="2091" t="s">
        <v>2692</v>
      </c>
      <c r="F133" s="2091" t="s">
        <v>2334</v>
      </c>
      <c r="G133" s="2091" t="s">
        <v>24</v>
      </c>
      <c r="H133" s="2091" t="s">
        <v>24</v>
      </c>
      <c r="I133" s="2091" t="s">
        <v>706</v>
      </c>
    </row>
    <row r="134" spans="1:9" ht="11.25" customHeight="1">
      <c r="A134" s="2091" t="s">
        <v>2181</v>
      </c>
      <c r="B134" s="2091" t="s">
        <v>14</v>
      </c>
      <c r="C134" s="2091" t="s">
        <v>2693</v>
      </c>
      <c r="D134" s="2091" t="s">
        <v>2694</v>
      </c>
      <c r="E134" s="2091" t="s">
        <v>2695</v>
      </c>
      <c r="F134" s="2091" t="s">
        <v>2343</v>
      </c>
      <c r="G134" s="2091" t="s">
        <v>24</v>
      </c>
      <c r="H134" s="2091" t="s">
        <v>24</v>
      </c>
      <c r="I134" s="2091" t="s">
        <v>706</v>
      </c>
    </row>
    <row r="135" spans="1:9" ht="11.25" customHeight="1">
      <c r="A135" s="2091" t="s">
        <v>2181</v>
      </c>
      <c r="B135" s="2091" t="s">
        <v>14</v>
      </c>
      <c r="C135" s="2091" t="s">
        <v>2696</v>
      </c>
      <c r="D135" s="2091" t="s">
        <v>2697</v>
      </c>
      <c r="E135" s="2091" t="s">
        <v>2698</v>
      </c>
      <c r="F135" s="2091" t="s">
        <v>2343</v>
      </c>
      <c r="G135" s="2091" t="s">
        <v>2699</v>
      </c>
      <c r="H135" s="2091" t="s">
        <v>24</v>
      </c>
      <c r="I135" s="2091" t="s">
        <v>706</v>
      </c>
    </row>
    <row r="136" spans="1:9" ht="11.25" customHeight="1">
      <c r="A136" s="2091" t="s">
        <v>2181</v>
      </c>
      <c r="B136" s="2091" t="s">
        <v>14</v>
      </c>
      <c r="C136" s="2091" t="s">
        <v>2700</v>
      </c>
      <c r="D136" s="2091" t="s">
        <v>2701</v>
      </c>
      <c r="E136" s="2091" t="s">
        <v>2702</v>
      </c>
      <c r="F136" s="2091" t="s">
        <v>2226</v>
      </c>
      <c r="G136" s="2091" t="s">
        <v>24</v>
      </c>
      <c r="H136" s="2091" t="s">
        <v>24</v>
      </c>
      <c r="I136" s="2091" t="s">
        <v>706</v>
      </c>
    </row>
    <row r="137" spans="1:9" ht="11.25" customHeight="1">
      <c r="A137" s="2091" t="s">
        <v>2181</v>
      </c>
      <c r="B137" s="2091" t="s">
        <v>14</v>
      </c>
      <c r="C137" s="2091" t="s">
        <v>2703</v>
      </c>
      <c r="D137" s="2091" t="s">
        <v>2704</v>
      </c>
      <c r="E137" s="2091" t="s">
        <v>2705</v>
      </c>
      <c r="F137" s="2091" t="s">
        <v>2242</v>
      </c>
      <c r="G137" s="2091" t="s">
        <v>24</v>
      </c>
      <c r="H137" s="2091" t="s">
        <v>24</v>
      </c>
      <c r="I137" s="2091" t="s">
        <v>706</v>
      </c>
    </row>
    <row r="138" spans="1:9" ht="11.25" customHeight="1">
      <c r="A138" s="2091" t="s">
        <v>2181</v>
      </c>
      <c r="B138" s="2091" t="s">
        <v>14</v>
      </c>
      <c r="C138" s="2091" t="s">
        <v>2706</v>
      </c>
      <c r="D138" s="2091" t="s">
        <v>2707</v>
      </c>
      <c r="E138" s="2091" t="s">
        <v>2708</v>
      </c>
      <c r="F138" s="2091" t="s">
        <v>2709</v>
      </c>
      <c r="G138" s="2091" t="s">
        <v>24</v>
      </c>
      <c r="H138" s="2091" t="s">
        <v>24</v>
      </c>
      <c r="I138" s="2091" t="s">
        <v>706</v>
      </c>
    </row>
    <row r="139" spans="1:9" ht="11.25" customHeight="1">
      <c r="A139" s="2091" t="s">
        <v>2181</v>
      </c>
      <c r="B139" s="2091" t="s">
        <v>14</v>
      </c>
      <c r="C139" s="2091" t="s">
        <v>2710</v>
      </c>
      <c r="D139" s="2091" t="s">
        <v>2711</v>
      </c>
      <c r="E139" s="2091" t="s">
        <v>2712</v>
      </c>
      <c r="F139" s="2091" t="s">
        <v>2317</v>
      </c>
      <c r="G139" s="2091" t="s">
        <v>2713</v>
      </c>
      <c r="H139" s="2091" t="s">
        <v>2714</v>
      </c>
      <c r="I139" s="2091" t="s">
        <v>706</v>
      </c>
    </row>
    <row r="140" spans="1:9" ht="11.25" customHeight="1">
      <c r="A140" s="2091" t="s">
        <v>2181</v>
      </c>
      <c r="B140" s="2091" t="s">
        <v>14</v>
      </c>
      <c r="C140" s="2091" t="s">
        <v>2715</v>
      </c>
      <c r="D140" s="2091" t="s">
        <v>2716</v>
      </c>
      <c r="E140" s="2091" t="s">
        <v>2717</v>
      </c>
      <c r="F140" s="2091" t="s">
        <v>2718</v>
      </c>
      <c r="G140" s="2091" t="s">
        <v>24</v>
      </c>
      <c r="H140" s="2091" t="s">
        <v>24</v>
      </c>
      <c r="I140" s="2091" t="s">
        <v>706</v>
      </c>
    </row>
    <row r="141" spans="1:9" ht="11.25" customHeight="1">
      <c r="A141" s="2091" t="s">
        <v>2181</v>
      </c>
      <c r="B141" s="2091" t="s">
        <v>14</v>
      </c>
      <c r="C141" s="2091" t="s">
        <v>2719</v>
      </c>
      <c r="D141" s="2091" t="s">
        <v>2720</v>
      </c>
      <c r="E141" s="2091" t="s">
        <v>2721</v>
      </c>
      <c r="F141" s="2091" t="s">
        <v>2361</v>
      </c>
      <c r="G141" s="2091" t="s">
        <v>24</v>
      </c>
      <c r="H141" s="2091" t="s">
        <v>24</v>
      </c>
      <c r="I141" s="2091" t="s">
        <v>706</v>
      </c>
    </row>
    <row r="142" spans="1:9" ht="11.25" customHeight="1">
      <c r="A142" s="2091" t="s">
        <v>2181</v>
      </c>
      <c r="B142" s="2091" t="s">
        <v>14</v>
      </c>
      <c r="C142" s="2091" t="s">
        <v>2722</v>
      </c>
      <c r="D142" s="2091" t="s">
        <v>2723</v>
      </c>
      <c r="E142" s="2091" t="s">
        <v>2724</v>
      </c>
      <c r="F142" s="2091" t="s">
        <v>2725</v>
      </c>
      <c r="G142" s="2091" t="s">
        <v>24</v>
      </c>
      <c r="H142" s="2091" t="s">
        <v>24</v>
      </c>
      <c r="I142" s="2091" t="s">
        <v>706</v>
      </c>
    </row>
    <row r="143" spans="1:9" ht="11.25" customHeight="1">
      <c r="A143" s="2091" t="s">
        <v>2181</v>
      </c>
      <c r="B143" s="2091" t="s">
        <v>14</v>
      </c>
      <c r="C143" s="2091" t="s">
        <v>2726</v>
      </c>
      <c r="D143" s="2091" t="s">
        <v>2727</v>
      </c>
      <c r="E143" s="2091" t="s">
        <v>2728</v>
      </c>
      <c r="F143" s="2091" t="s">
        <v>2334</v>
      </c>
      <c r="G143" s="2091" t="s">
        <v>24</v>
      </c>
      <c r="H143" s="2091" t="s">
        <v>24</v>
      </c>
      <c r="I143" s="2091" t="s">
        <v>706</v>
      </c>
    </row>
    <row r="144" spans="1:9" ht="11.25" customHeight="1">
      <c r="A144" s="2091" t="s">
        <v>2181</v>
      </c>
      <c r="B144" s="2091" t="s">
        <v>14</v>
      </c>
      <c r="C144" s="2091" t="s">
        <v>2729</v>
      </c>
      <c r="D144" s="2091" t="s">
        <v>2730</v>
      </c>
      <c r="E144" s="2091" t="s">
        <v>2731</v>
      </c>
      <c r="F144" s="2091" t="s">
        <v>2185</v>
      </c>
      <c r="G144" s="2091" t="s">
        <v>24</v>
      </c>
      <c r="H144" s="2091" t="s">
        <v>24</v>
      </c>
      <c r="I144" s="2091" t="s">
        <v>706</v>
      </c>
    </row>
    <row r="145" spans="1:9" ht="11.25" customHeight="1">
      <c r="A145" s="2091" t="s">
        <v>2181</v>
      </c>
      <c r="B145" s="2091" t="s">
        <v>14</v>
      </c>
      <c r="C145" s="2091" t="s">
        <v>2732</v>
      </c>
      <c r="D145" s="2091" t="s">
        <v>2733</v>
      </c>
      <c r="E145" s="2091" t="s">
        <v>2734</v>
      </c>
      <c r="F145" s="2091" t="s">
        <v>2383</v>
      </c>
      <c r="G145" s="2091" t="s">
        <v>24</v>
      </c>
      <c r="H145" s="2091" t="s">
        <v>24</v>
      </c>
      <c r="I145" s="2091" t="s">
        <v>706</v>
      </c>
    </row>
    <row r="146" spans="1:9" ht="11.25" customHeight="1">
      <c r="A146" s="2091" t="s">
        <v>2181</v>
      </c>
      <c r="B146" s="2091" t="s">
        <v>14</v>
      </c>
      <c r="C146" s="2091" t="s">
        <v>2735</v>
      </c>
      <c r="D146" s="2091" t="s">
        <v>2736</v>
      </c>
      <c r="E146" s="2091" t="s">
        <v>2737</v>
      </c>
      <c r="F146" s="2091" t="s">
        <v>2338</v>
      </c>
      <c r="G146" s="2091" t="s">
        <v>24</v>
      </c>
      <c r="H146" s="2091" t="s">
        <v>24</v>
      </c>
      <c r="I146" s="2091" t="s">
        <v>706</v>
      </c>
    </row>
    <row r="147" spans="1:9" ht="11.25" customHeight="1">
      <c r="A147" s="2091" t="s">
        <v>2181</v>
      </c>
      <c r="B147" s="2091" t="s">
        <v>14</v>
      </c>
      <c r="C147" s="2091" t="s">
        <v>2738</v>
      </c>
      <c r="D147" s="2091" t="s">
        <v>2739</v>
      </c>
      <c r="E147" s="2091" t="s">
        <v>2740</v>
      </c>
      <c r="F147" s="2091" t="s">
        <v>2535</v>
      </c>
      <c r="G147" s="2091" t="s">
        <v>24</v>
      </c>
      <c r="H147" s="2091" t="s">
        <v>24</v>
      </c>
      <c r="I147" s="2091" t="s">
        <v>706</v>
      </c>
    </row>
    <row r="148" spans="1:9" ht="11.25" customHeight="1">
      <c r="A148" s="2091" t="s">
        <v>2181</v>
      </c>
      <c r="B148" s="2091" t="s">
        <v>14</v>
      </c>
      <c r="C148" s="2091" t="s">
        <v>2741</v>
      </c>
      <c r="D148" s="2091" t="s">
        <v>2742</v>
      </c>
      <c r="E148" s="2091" t="s">
        <v>2743</v>
      </c>
      <c r="F148" s="2091" t="s">
        <v>2468</v>
      </c>
      <c r="G148" s="2091" t="s">
        <v>24</v>
      </c>
      <c r="H148" s="2091" t="s">
        <v>24</v>
      </c>
      <c r="I148" s="2091" t="s">
        <v>706</v>
      </c>
    </row>
    <row r="149" spans="1:9" ht="11.25" customHeight="1">
      <c r="A149" s="2091" t="s">
        <v>2181</v>
      </c>
      <c r="B149" s="2091" t="s">
        <v>14</v>
      </c>
      <c r="C149" s="2091" t="s">
        <v>2744</v>
      </c>
      <c r="D149" s="2091" t="s">
        <v>2745</v>
      </c>
      <c r="E149" s="2091" t="s">
        <v>2746</v>
      </c>
      <c r="F149" s="2091" t="s">
        <v>2226</v>
      </c>
      <c r="G149" s="2091" t="s">
        <v>24</v>
      </c>
      <c r="H149" s="2091" t="s">
        <v>24</v>
      </c>
      <c r="I149" s="2091" t="s">
        <v>706</v>
      </c>
    </row>
    <row r="150" spans="1:9" ht="11.25" customHeight="1">
      <c r="A150" s="2091" t="s">
        <v>2181</v>
      </c>
      <c r="B150" s="2091" t="s">
        <v>14</v>
      </c>
      <c r="C150" s="2091" t="s">
        <v>2747</v>
      </c>
      <c r="D150" s="2091" t="s">
        <v>2748</v>
      </c>
      <c r="E150" s="2091" t="s">
        <v>2749</v>
      </c>
      <c r="F150" s="2091" t="s">
        <v>2242</v>
      </c>
      <c r="G150" s="2091" t="s">
        <v>24</v>
      </c>
      <c r="H150" s="2091" t="s">
        <v>24</v>
      </c>
      <c r="I150" s="2091" t="s">
        <v>706</v>
      </c>
    </row>
    <row r="151" spans="1:9" ht="11.25" customHeight="1">
      <c r="A151" s="2091" t="s">
        <v>2181</v>
      </c>
      <c r="B151" s="2091" t="s">
        <v>14</v>
      </c>
      <c r="C151" s="2091" t="s">
        <v>2750</v>
      </c>
      <c r="D151" s="2091" t="s">
        <v>2751</v>
      </c>
      <c r="E151" s="2091" t="s">
        <v>2752</v>
      </c>
      <c r="F151" s="2091" t="s">
        <v>2492</v>
      </c>
      <c r="G151" s="2091" t="s">
        <v>24</v>
      </c>
      <c r="H151" s="2091" t="s">
        <v>24</v>
      </c>
      <c r="I151" s="2091" t="s">
        <v>706</v>
      </c>
    </row>
    <row r="152" spans="1:9" ht="11.25" customHeight="1">
      <c r="A152" s="2091" t="s">
        <v>2181</v>
      </c>
      <c r="B152" s="2091" t="s">
        <v>14</v>
      </c>
      <c r="C152" s="2091" t="s">
        <v>2753</v>
      </c>
      <c r="D152" s="2091" t="s">
        <v>2754</v>
      </c>
      <c r="E152" s="2091" t="s">
        <v>2755</v>
      </c>
      <c r="F152" s="2091" t="s">
        <v>2317</v>
      </c>
      <c r="G152" s="2091" t="s">
        <v>2756</v>
      </c>
      <c r="H152" s="2091" t="s">
        <v>2757</v>
      </c>
      <c r="I152" s="2091" t="s">
        <v>706</v>
      </c>
    </row>
    <row r="153" spans="1:9" ht="11.25" customHeight="1">
      <c r="A153" s="2091" t="s">
        <v>2181</v>
      </c>
      <c r="B153" s="2091" t="s">
        <v>14</v>
      </c>
      <c r="C153" s="2091" t="s">
        <v>2758</v>
      </c>
      <c r="D153" s="2091" t="s">
        <v>2759</v>
      </c>
      <c r="E153" s="2091" t="s">
        <v>2760</v>
      </c>
      <c r="F153" s="2091" t="s">
        <v>2725</v>
      </c>
      <c r="G153" s="2091" t="s">
        <v>24</v>
      </c>
      <c r="H153" s="2091" t="s">
        <v>24</v>
      </c>
      <c r="I153" s="2091" t="s">
        <v>706</v>
      </c>
    </row>
    <row r="154" spans="1:9" ht="11.25" customHeight="1">
      <c r="A154" s="2091" t="s">
        <v>2181</v>
      </c>
      <c r="B154" s="2091" t="s">
        <v>14</v>
      </c>
      <c r="C154" s="2091" t="s">
        <v>2761</v>
      </c>
      <c r="D154" s="2091" t="s">
        <v>2762</v>
      </c>
      <c r="E154" s="2091" t="s">
        <v>2763</v>
      </c>
      <c r="F154" s="2091" t="s">
        <v>2317</v>
      </c>
      <c r="G154" s="2091" t="s">
        <v>24</v>
      </c>
      <c r="H154" s="2091" t="s">
        <v>24</v>
      </c>
      <c r="I154" s="2091" t="s">
        <v>706</v>
      </c>
    </row>
    <row r="155" spans="1:9" ht="11.25" customHeight="1">
      <c r="A155" s="2091" t="s">
        <v>2181</v>
      </c>
      <c r="B155" s="2091" t="s">
        <v>14</v>
      </c>
      <c r="C155" s="2091" t="s">
        <v>2764</v>
      </c>
      <c r="D155" s="2091" t="s">
        <v>2765</v>
      </c>
      <c r="E155" s="2091" t="s">
        <v>2766</v>
      </c>
      <c r="F155" s="2091" t="s">
        <v>2250</v>
      </c>
      <c r="G155" s="2091" t="s">
        <v>24</v>
      </c>
      <c r="H155" s="2091" t="s">
        <v>24</v>
      </c>
      <c r="I155" s="2091" t="s">
        <v>706</v>
      </c>
    </row>
    <row r="156" spans="1:9" ht="11.25" customHeight="1">
      <c r="A156" s="2091" t="s">
        <v>2181</v>
      </c>
      <c r="B156" s="2091" t="s">
        <v>14</v>
      </c>
      <c r="C156" s="2091" t="s">
        <v>2767</v>
      </c>
      <c r="D156" s="2091" t="s">
        <v>2768</v>
      </c>
      <c r="E156" s="2091" t="s">
        <v>2769</v>
      </c>
      <c r="F156" s="2091" t="s">
        <v>2218</v>
      </c>
      <c r="G156" s="2091" t="s">
        <v>24</v>
      </c>
      <c r="H156" s="2091" t="s">
        <v>24</v>
      </c>
      <c r="I156" s="2091" t="s">
        <v>706</v>
      </c>
    </row>
    <row r="157" spans="1:9" ht="11.25" customHeight="1">
      <c r="A157" s="2091" t="s">
        <v>2181</v>
      </c>
      <c r="B157" s="2091" t="s">
        <v>14</v>
      </c>
      <c r="C157" s="2091" t="s">
        <v>2770</v>
      </c>
      <c r="D157" s="2091" t="s">
        <v>2771</v>
      </c>
      <c r="E157" s="2091" t="s">
        <v>2772</v>
      </c>
      <c r="F157" s="2091" t="s">
        <v>2329</v>
      </c>
      <c r="G157" s="2091" t="s">
        <v>24</v>
      </c>
      <c r="H157" s="2091" t="s">
        <v>24</v>
      </c>
      <c r="I157" s="2091" t="s">
        <v>706</v>
      </c>
    </row>
    <row r="158" spans="1:9" ht="11.25" customHeight="1">
      <c r="A158" s="2091" t="s">
        <v>2181</v>
      </c>
      <c r="B158" s="2091" t="s">
        <v>14</v>
      </c>
      <c r="C158" s="2091" t="s">
        <v>2773</v>
      </c>
      <c r="D158" s="2091" t="s">
        <v>2774</v>
      </c>
      <c r="E158" s="2091" t="s">
        <v>2775</v>
      </c>
      <c r="F158" s="2091" t="s">
        <v>2317</v>
      </c>
      <c r="G158" s="2091" t="s">
        <v>24</v>
      </c>
      <c r="H158" s="2091" t="s">
        <v>24</v>
      </c>
      <c r="I158" s="2091" t="s">
        <v>706</v>
      </c>
    </row>
    <row r="159" spans="1:9" ht="11.25" customHeight="1">
      <c r="A159" s="2091" t="s">
        <v>2181</v>
      </c>
      <c r="B159" s="2091" t="s">
        <v>14</v>
      </c>
      <c r="C159" s="2091" t="s">
        <v>2776</v>
      </c>
      <c r="D159" s="2091" t="s">
        <v>2777</v>
      </c>
      <c r="E159" s="2091" t="s">
        <v>2778</v>
      </c>
      <c r="F159" s="2091" t="s">
        <v>2317</v>
      </c>
      <c r="G159" s="2091" t="s">
        <v>24</v>
      </c>
      <c r="H159" s="2091" t="s">
        <v>24</v>
      </c>
      <c r="I159" s="2091" t="s">
        <v>706</v>
      </c>
    </row>
    <row r="160" spans="1:9" ht="11.25" customHeight="1">
      <c r="A160" s="2091" t="s">
        <v>2181</v>
      </c>
      <c r="B160" s="2091" t="s">
        <v>14</v>
      </c>
      <c r="C160" s="2091" t="s">
        <v>2779</v>
      </c>
      <c r="D160" s="2091" t="s">
        <v>2780</v>
      </c>
      <c r="E160" s="2091" t="s">
        <v>2781</v>
      </c>
      <c r="F160" s="2091" t="s">
        <v>2782</v>
      </c>
      <c r="G160" s="2091" t="s">
        <v>2783</v>
      </c>
      <c r="H160" s="2091" t="s">
        <v>24</v>
      </c>
      <c r="I160" s="2091" t="s">
        <v>706</v>
      </c>
    </row>
    <row r="161" spans="1:9" ht="11.25" customHeight="1">
      <c r="A161" s="2091" t="s">
        <v>2181</v>
      </c>
      <c r="B161" s="2091" t="s">
        <v>14</v>
      </c>
      <c r="C161" s="2091" t="s">
        <v>2784</v>
      </c>
      <c r="D161" s="2091" t="s">
        <v>2785</v>
      </c>
      <c r="E161" s="2091" t="s">
        <v>2786</v>
      </c>
      <c r="F161" s="2091" t="s">
        <v>2255</v>
      </c>
      <c r="G161" s="2091" t="s">
        <v>2787</v>
      </c>
      <c r="H161" s="2091" t="s">
        <v>24</v>
      </c>
      <c r="I161" s="2091" t="s">
        <v>706</v>
      </c>
    </row>
    <row r="162" spans="1:9" ht="11.25" customHeight="1">
      <c r="A162" s="2091" t="s">
        <v>2181</v>
      </c>
      <c r="B162" s="2091" t="s">
        <v>14</v>
      </c>
      <c r="C162" s="2091" t="s">
        <v>2788</v>
      </c>
      <c r="D162" s="2091" t="s">
        <v>2789</v>
      </c>
      <c r="E162" s="2091" t="s">
        <v>2790</v>
      </c>
      <c r="F162" s="2091" t="s">
        <v>2424</v>
      </c>
      <c r="G162" s="2091" t="s">
        <v>2791</v>
      </c>
      <c r="H162" s="2091" t="s">
        <v>24</v>
      </c>
      <c r="I162" s="2091" t="s">
        <v>706</v>
      </c>
    </row>
    <row r="163" spans="1:9" ht="11.25" customHeight="1">
      <c r="A163" s="2091" t="s">
        <v>2181</v>
      </c>
      <c r="B163" s="2091" t="s">
        <v>14</v>
      </c>
      <c r="C163" s="2091" t="s">
        <v>2792</v>
      </c>
      <c r="D163" s="2091" t="s">
        <v>2793</v>
      </c>
      <c r="E163" s="2091" t="s">
        <v>2794</v>
      </c>
      <c r="F163" s="2091" t="s">
        <v>2709</v>
      </c>
      <c r="G163" s="2091" t="s">
        <v>24</v>
      </c>
      <c r="H163" s="2091" t="s">
        <v>24</v>
      </c>
      <c r="I163" s="2091" t="s">
        <v>706</v>
      </c>
    </row>
    <row r="164" spans="1:9" ht="11.25" customHeight="1">
      <c r="A164" s="2091" t="s">
        <v>2181</v>
      </c>
      <c r="B164" s="2091" t="s">
        <v>14</v>
      </c>
      <c r="C164" s="2091" t="s">
        <v>2795</v>
      </c>
      <c r="D164" s="2091" t="s">
        <v>2796</v>
      </c>
      <c r="E164" s="2091" t="s">
        <v>2797</v>
      </c>
      <c r="F164" s="2091" t="s">
        <v>2683</v>
      </c>
      <c r="G164" s="2091" t="s">
        <v>2798</v>
      </c>
      <c r="H164" s="2091" t="s">
        <v>2799</v>
      </c>
      <c r="I164" s="2091" t="s">
        <v>706</v>
      </c>
    </row>
    <row r="165" spans="1:9" ht="11.25" customHeight="1">
      <c r="A165" s="2091" t="s">
        <v>2181</v>
      </c>
      <c r="B165" s="2091" t="s">
        <v>14</v>
      </c>
      <c r="C165" s="2091" t="s">
        <v>2800</v>
      </c>
      <c r="D165" s="2091" t="s">
        <v>2801</v>
      </c>
      <c r="E165" s="2091" t="s">
        <v>2802</v>
      </c>
      <c r="F165" s="2091" t="s">
        <v>2317</v>
      </c>
      <c r="G165" s="2091" t="s">
        <v>24</v>
      </c>
      <c r="H165" s="2091" t="s">
        <v>24</v>
      </c>
      <c r="I165" s="2091" t="s">
        <v>706</v>
      </c>
    </row>
    <row r="166" spans="1:9" ht="11.25" customHeight="1">
      <c r="A166" s="2091" t="s">
        <v>2181</v>
      </c>
      <c r="B166" s="2091" t="s">
        <v>14</v>
      </c>
      <c r="C166" s="2091" t="s">
        <v>2803</v>
      </c>
      <c r="D166" s="2091" t="s">
        <v>2804</v>
      </c>
      <c r="E166" s="2091" t="s">
        <v>2805</v>
      </c>
      <c r="F166" s="2091" t="s">
        <v>2405</v>
      </c>
      <c r="G166" s="2091" t="s">
        <v>24</v>
      </c>
      <c r="H166" s="2091" t="s">
        <v>24</v>
      </c>
      <c r="I166" s="2091" t="s">
        <v>706</v>
      </c>
    </row>
    <row r="167" spans="1:9" ht="11.25" customHeight="1">
      <c r="A167" s="2091" t="s">
        <v>2181</v>
      </c>
      <c r="B167" s="2091" t="s">
        <v>14</v>
      </c>
      <c r="C167" s="2091" t="s">
        <v>2806</v>
      </c>
      <c r="D167" s="2091" t="s">
        <v>2807</v>
      </c>
      <c r="E167" s="2091" t="s">
        <v>2808</v>
      </c>
      <c r="F167" s="2091" t="s">
        <v>2185</v>
      </c>
      <c r="G167" s="2091" t="s">
        <v>2809</v>
      </c>
      <c r="H167" s="2091" t="s">
        <v>24</v>
      </c>
      <c r="I167" s="2091" t="s">
        <v>706</v>
      </c>
    </row>
    <row r="168" spans="1:9" ht="11.25" customHeight="1">
      <c r="A168" s="2091" t="s">
        <v>2181</v>
      </c>
      <c r="B168" s="2091" t="s">
        <v>14</v>
      </c>
      <c r="C168" s="2091" t="s">
        <v>2810</v>
      </c>
      <c r="D168" s="2091" t="s">
        <v>2811</v>
      </c>
      <c r="E168" s="2091" t="s">
        <v>2812</v>
      </c>
      <c r="F168" s="2091" t="s">
        <v>2383</v>
      </c>
      <c r="G168" s="2091" t="s">
        <v>24</v>
      </c>
      <c r="H168" s="2091" t="s">
        <v>24</v>
      </c>
      <c r="I168" s="2091" t="s">
        <v>706</v>
      </c>
    </row>
    <row r="169" spans="1:9" ht="11.25" customHeight="1">
      <c r="A169" s="2091" t="s">
        <v>2181</v>
      </c>
      <c r="B169" s="2091" t="s">
        <v>14</v>
      </c>
      <c r="C169" s="2091" t="s">
        <v>2813</v>
      </c>
      <c r="D169" s="2091" t="s">
        <v>2814</v>
      </c>
      <c r="E169" s="2091" t="s">
        <v>2815</v>
      </c>
      <c r="F169" s="2091" t="s">
        <v>2816</v>
      </c>
      <c r="G169" s="2091" t="s">
        <v>2817</v>
      </c>
      <c r="H169" s="2091" t="s">
        <v>24</v>
      </c>
      <c r="I169" s="2091" t="s">
        <v>706</v>
      </c>
    </row>
    <row r="170" spans="1:9" ht="11.25" customHeight="1">
      <c r="A170" s="2091" t="s">
        <v>2181</v>
      </c>
      <c r="B170" s="2091" t="s">
        <v>14</v>
      </c>
      <c r="C170" s="2091" t="s">
        <v>2818</v>
      </c>
      <c r="D170" s="2091" t="s">
        <v>2819</v>
      </c>
      <c r="E170" s="2091" t="s">
        <v>2820</v>
      </c>
      <c r="F170" s="2091" t="s">
        <v>2451</v>
      </c>
      <c r="G170" s="2091" t="s">
        <v>24</v>
      </c>
      <c r="H170" s="2091" t="s">
        <v>24</v>
      </c>
      <c r="I170" s="2091" t="s">
        <v>706</v>
      </c>
    </row>
    <row r="171" spans="1:9" ht="11.25" customHeight="1">
      <c r="A171" s="2091" t="s">
        <v>2181</v>
      </c>
      <c r="B171" s="2091" t="s">
        <v>14</v>
      </c>
      <c r="C171" s="2091" t="s">
        <v>2821</v>
      </c>
      <c r="D171" s="2091" t="s">
        <v>2822</v>
      </c>
      <c r="E171" s="2091" t="s">
        <v>2823</v>
      </c>
      <c r="F171" s="2091" t="s">
        <v>2451</v>
      </c>
      <c r="G171" s="2091" t="s">
        <v>2824</v>
      </c>
      <c r="H171" s="2091" t="s">
        <v>24</v>
      </c>
      <c r="I171" s="2091" t="s">
        <v>706</v>
      </c>
    </row>
    <row r="172" spans="1:9" ht="11.25" customHeight="1">
      <c r="A172" s="2091" t="s">
        <v>2181</v>
      </c>
      <c r="B172" s="2091" t="s">
        <v>14</v>
      </c>
      <c r="C172" s="2091" t="s">
        <v>2825</v>
      </c>
      <c r="D172" s="2091" t="s">
        <v>2826</v>
      </c>
      <c r="E172" s="2091" t="s">
        <v>2827</v>
      </c>
      <c r="F172" s="2091" t="s">
        <v>2828</v>
      </c>
      <c r="G172" s="2091" t="s">
        <v>2829</v>
      </c>
      <c r="H172" s="2091" t="s">
        <v>24</v>
      </c>
      <c r="I172" s="2091" t="s">
        <v>706</v>
      </c>
    </row>
    <row r="173" spans="1:9" ht="11.25" customHeight="1">
      <c r="A173" s="2091" t="s">
        <v>2181</v>
      </c>
      <c r="B173" s="2091" t="s">
        <v>14</v>
      </c>
      <c r="C173" s="2091" t="s">
        <v>2830</v>
      </c>
      <c r="D173" s="2091" t="s">
        <v>2831</v>
      </c>
      <c r="E173" s="2091" t="s">
        <v>2832</v>
      </c>
      <c r="F173" s="2091" t="s">
        <v>2833</v>
      </c>
      <c r="G173" s="2091" t="s">
        <v>24</v>
      </c>
      <c r="H173" s="2091" t="s">
        <v>24</v>
      </c>
      <c r="I173" s="2091" t="s">
        <v>706</v>
      </c>
    </row>
    <row r="174" spans="1:9" ht="11.25" customHeight="1">
      <c r="A174" s="2091" t="s">
        <v>2181</v>
      </c>
      <c r="B174" s="2091" t="s">
        <v>14</v>
      </c>
      <c r="C174" s="2091" t="s">
        <v>2834</v>
      </c>
      <c r="D174" s="2091" t="s">
        <v>2835</v>
      </c>
      <c r="E174" s="2091" t="s">
        <v>2836</v>
      </c>
      <c r="F174" s="2091" t="s">
        <v>2189</v>
      </c>
      <c r="G174" s="2091" t="s">
        <v>24</v>
      </c>
      <c r="H174" s="2091" t="s">
        <v>24</v>
      </c>
      <c r="I174" s="2091" t="s">
        <v>706</v>
      </c>
    </row>
    <row r="175" spans="1:9" ht="11.25" customHeight="1">
      <c r="A175" s="2091" t="s">
        <v>2181</v>
      </c>
      <c r="B175" s="2091" t="s">
        <v>14</v>
      </c>
      <c r="C175" s="2091" t="s">
        <v>2837</v>
      </c>
      <c r="D175" s="2091" t="s">
        <v>2838</v>
      </c>
      <c r="E175" s="2091" t="s">
        <v>2839</v>
      </c>
      <c r="F175" s="2091" t="s">
        <v>2512</v>
      </c>
      <c r="G175" s="2091" t="s">
        <v>2840</v>
      </c>
      <c r="H175" s="2091" t="s">
        <v>24</v>
      </c>
      <c r="I175" s="2091" t="s">
        <v>706</v>
      </c>
    </row>
    <row r="176" spans="1:9" ht="11.25" customHeight="1">
      <c r="A176" s="2091" t="s">
        <v>2181</v>
      </c>
      <c r="B176" s="2091" t="s">
        <v>14</v>
      </c>
      <c r="C176" s="2091" t="s">
        <v>2841</v>
      </c>
      <c r="D176" s="2091" t="s">
        <v>2842</v>
      </c>
      <c r="E176" s="2091" t="s">
        <v>2843</v>
      </c>
      <c r="F176" s="2091" t="s">
        <v>2317</v>
      </c>
      <c r="G176" s="2091" t="s">
        <v>2844</v>
      </c>
      <c r="H176" s="2091" t="s">
        <v>24</v>
      </c>
      <c r="I176" s="2091" t="s">
        <v>706</v>
      </c>
    </row>
    <row r="177" spans="1:9" ht="11.25" customHeight="1">
      <c r="A177" s="2091" t="s">
        <v>2181</v>
      </c>
      <c r="B177" s="2091" t="s">
        <v>14</v>
      </c>
      <c r="C177" s="2091" t="s">
        <v>2845</v>
      </c>
      <c r="D177" s="2091" t="s">
        <v>2846</v>
      </c>
      <c r="E177" s="2091" t="s">
        <v>2847</v>
      </c>
      <c r="F177" s="2091" t="s">
        <v>2848</v>
      </c>
      <c r="G177" s="2091" t="s">
        <v>24</v>
      </c>
      <c r="H177" s="2091" t="s">
        <v>24</v>
      </c>
      <c r="I177" s="2091" t="s">
        <v>706</v>
      </c>
    </row>
    <row r="178" spans="1:9" ht="11.25" customHeight="1">
      <c r="A178" s="2091" t="s">
        <v>2181</v>
      </c>
      <c r="B178" s="2091" t="s">
        <v>14</v>
      </c>
      <c r="C178" s="2091" t="s">
        <v>2849</v>
      </c>
      <c r="D178" s="2091" t="s">
        <v>2850</v>
      </c>
      <c r="E178" s="2091" t="s">
        <v>2851</v>
      </c>
      <c r="F178" s="2091" t="s">
        <v>2852</v>
      </c>
      <c r="G178" s="2091" t="s">
        <v>2853</v>
      </c>
      <c r="H178" s="2091" t="s">
        <v>2854</v>
      </c>
      <c r="I178" s="2091" t="s">
        <v>706</v>
      </c>
    </row>
    <row r="179" spans="1:9" ht="11.25" customHeight="1">
      <c r="A179" s="2091" t="s">
        <v>2181</v>
      </c>
      <c r="B179" s="2091" t="s">
        <v>14</v>
      </c>
      <c r="C179" s="2091" t="s">
        <v>2855</v>
      </c>
      <c r="D179" s="2091" t="s">
        <v>2856</v>
      </c>
      <c r="E179" s="2091" t="s">
        <v>2857</v>
      </c>
      <c r="F179" s="2091" t="s">
        <v>2512</v>
      </c>
      <c r="G179" s="2091" t="s">
        <v>24</v>
      </c>
      <c r="H179" s="2091" t="s">
        <v>24</v>
      </c>
      <c r="I179" s="2091" t="s">
        <v>706</v>
      </c>
    </row>
    <row r="180" spans="1:9" ht="11.25" customHeight="1">
      <c r="A180" s="2091" t="s">
        <v>2181</v>
      </c>
      <c r="B180" s="2091" t="s">
        <v>14</v>
      </c>
      <c r="C180" s="2091" t="s">
        <v>2858</v>
      </c>
      <c r="D180" s="2091" t="s">
        <v>2859</v>
      </c>
      <c r="E180" s="2091" t="s">
        <v>2860</v>
      </c>
      <c r="F180" s="2091" t="s">
        <v>2852</v>
      </c>
      <c r="G180" s="2091" t="s">
        <v>24</v>
      </c>
      <c r="H180" s="2091" t="s">
        <v>24</v>
      </c>
      <c r="I180" s="2091" t="s">
        <v>706</v>
      </c>
    </row>
    <row r="181" spans="1:9" ht="11.25" customHeight="1">
      <c r="A181" s="2091" t="s">
        <v>2181</v>
      </c>
      <c r="B181" s="2091" t="s">
        <v>14</v>
      </c>
      <c r="C181" s="2091" t="s">
        <v>2861</v>
      </c>
      <c r="D181" s="2091" t="s">
        <v>2862</v>
      </c>
      <c r="E181" s="2091" t="s">
        <v>2863</v>
      </c>
      <c r="F181" s="2091" t="s">
        <v>2218</v>
      </c>
      <c r="G181" s="2091" t="s">
        <v>24</v>
      </c>
      <c r="H181" s="2091" t="s">
        <v>24</v>
      </c>
      <c r="I181" s="2091" t="s">
        <v>706</v>
      </c>
    </row>
    <row r="182" spans="1:9" ht="11.25" customHeight="1">
      <c r="A182" s="2091" t="s">
        <v>2181</v>
      </c>
      <c r="B182" s="2091" t="s">
        <v>14</v>
      </c>
      <c r="C182" s="2091" t="s">
        <v>2864</v>
      </c>
      <c r="D182" s="2091" t="s">
        <v>2865</v>
      </c>
      <c r="E182" s="2091" t="s">
        <v>2866</v>
      </c>
      <c r="F182" s="2091" t="s">
        <v>2194</v>
      </c>
      <c r="G182" s="2091" t="s">
        <v>24</v>
      </c>
      <c r="H182" s="2091" t="s">
        <v>24</v>
      </c>
      <c r="I182" s="2091" t="s">
        <v>706</v>
      </c>
    </row>
    <row r="183" spans="1:9" ht="11.25" customHeight="1">
      <c r="A183" s="2091" t="s">
        <v>2181</v>
      </c>
      <c r="B183" s="2091" t="s">
        <v>14</v>
      </c>
      <c r="C183" s="2091" t="s">
        <v>2867</v>
      </c>
      <c r="D183" s="2091" t="s">
        <v>2868</v>
      </c>
      <c r="E183" s="2091" t="s">
        <v>2869</v>
      </c>
      <c r="F183" s="2091" t="s">
        <v>2334</v>
      </c>
      <c r="G183" s="2091" t="s">
        <v>2870</v>
      </c>
      <c r="H183" s="2091" t="s">
        <v>24</v>
      </c>
      <c r="I183" s="2091" t="s">
        <v>706</v>
      </c>
    </row>
    <row r="184" spans="1:9" ht="11.25" customHeight="1">
      <c r="A184" s="2091" t="s">
        <v>2181</v>
      </c>
      <c r="B184" s="2091" t="s">
        <v>14</v>
      </c>
      <c r="C184" s="2091" t="s">
        <v>2871</v>
      </c>
      <c r="D184" s="2091" t="s">
        <v>2872</v>
      </c>
      <c r="E184" s="2091" t="s">
        <v>2873</v>
      </c>
      <c r="F184" s="2091" t="s">
        <v>2185</v>
      </c>
      <c r="G184" s="2091" t="s">
        <v>24</v>
      </c>
      <c r="H184" s="2091" t="s">
        <v>24</v>
      </c>
      <c r="I184" s="2091" t="s">
        <v>706</v>
      </c>
    </row>
    <row r="185" spans="1:9" ht="11.25" customHeight="1">
      <c r="A185" s="2091" t="s">
        <v>2181</v>
      </c>
      <c r="B185" s="2091" t="s">
        <v>14</v>
      </c>
      <c r="C185" s="2091" t="s">
        <v>2874</v>
      </c>
      <c r="D185" s="2091" t="s">
        <v>2875</v>
      </c>
      <c r="E185" s="2091" t="s">
        <v>2876</v>
      </c>
      <c r="F185" s="2091" t="s">
        <v>2218</v>
      </c>
      <c r="G185" s="2091" t="s">
        <v>24</v>
      </c>
      <c r="H185" s="2091" t="s">
        <v>24</v>
      </c>
      <c r="I185" s="2091" t="s">
        <v>706</v>
      </c>
    </row>
    <row r="186" spans="1:9" ht="11.25" customHeight="1">
      <c r="A186" s="2091" t="s">
        <v>2181</v>
      </c>
      <c r="B186" s="2091" t="s">
        <v>14</v>
      </c>
      <c r="C186" s="2091" t="s">
        <v>2877</v>
      </c>
      <c r="D186" s="2091" t="s">
        <v>2878</v>
      </c>
      <c r="E186" s="2091" t="s">
        <v>2879</v>
      </c>
      <c r="F186" s="2091" t="s">
        <v>2880</v>
      </c>
      <c r="G186" s="2091" t="s">
        <v>24</v>
      </c>
      <c r="H186" s="2091" t="s">
        <v>24</v>
      </c>
      <c r="I186" s="2091" t="s">
        <v>706</v>
      </c>
    </row>
    <row r="187" spans="1:9" ht="11.25" customHeight="1">
      <c r="A187" s="2091" t="s">
        <v>2181</v>
      </c>
      <c r="B187" s="2091" t="s">
        <v>14</v>
      </c>
      <c r="C187" s="2091" t="s">
        <v>2881</v>
      </c>
      <c r="D187" s="2091" t="s">
        <v>2882</v>
      </c>
      <c r="E187" s="2091" t="s">
        <v>2883</v>
      </c>
      <c r="F187" s="2091" t="s">
        <v>2293</v>
      </c>
      <c r="G187" s="2091" t="s">
        <v>24</v>
      </c>
      <c r="H187" s="2091" t="s">
        <v>24</v>
      </c>
      <c r="I187" s="2091" t="s">
        <v>706</v>
      </c>
    </row>
    <row r="188" spans="1:9" ht="11.25" customHeight="1">
      <c r="A188" s="2091" t="s">
        <v>2181</v>
      </c>
      <c r="B188" s="2091" t="s">
        <v>14</v>
      </c>
      <c r="C188" s="2091" t="s">
        <v>2884</v>
      </c>
      <c r="D188" s="2091" t="s">
        <v>2885</v>
      </c>
      <c r="E188" s="2091" t="s">
        <v>2886</v>
      </c>
      <c r="F188" s="2091" t="s">
        <v>2185</v>
      </c>
      <c r="G188" s="2091" t="s">
        <v>24</v>
      </c>
      <c r="H188" s="2091" t="s">
        <v>24</v>
      </c>
      <c r="I188" s="2091" t="s">
        <v>706</v>
      </c>
    </row>
    <row r="189" spans="1:9" ht="11.25" customHeight="1">
      <c r="A189" s="2091" t="s">
        <v>2181</v>
      </c>
      <c r="B189" s="2091" t="s">
        <v>14</v>
      </c>
      <c r="C189" s="2091" t="s">
        <v>2887</v>
      </c>
      <c r="D189" s="2091" t="s">
        <v>2888</v>
      </c>
      <c r="E189" s="2091" t="s">
        <v>2889</v>
      </c>
      <c r="F189" s="2091" t="s">
        <v>2512</v>
      </c>
      <c r="G189" s="2091" t="s">
        <v>24</v>
      </c>
      <c r="H189" s="2091" t="s">
        <v>24</v>
      </c>
      <c r="I189" s="2091" t="s">
        <v>706</v>
      </c>
    </row>
    <row r="190" spans="1:9" ht="11.25" customHeight="1">
      <c r="A190" s="2091" t="s">
        <v>2181</v>
      </c>
      <c r="B190" s="2091" t="s">
        <v>14</v>
      </c>
      <c r="C190" s="2091" t="s">
        <v>2890</v>
      </c>
      <c r="D190" s="2091" t="s">
        <v>2891</v>
      </c>
      <c r="E190" s="2091" t="s">
        <v>2892</v>
      </c>
      <c r="F190" s="2091" t="s">
        <v>2424</v>
      </c>
      <c r="G190" s="2091" t="s">
        <v>24</v>
      </c>
      <c r="H190" s="2091" t="s">
        <v>2893</v>
      </c>
      <c r="I190" s="2091" t="s">
        <v>706</v>
      </c>
    </row>
    <row r="191" spans="1:9" ht="11.25" customHeight="1">
      <c r="A191" s="2091" t="s">
        <v>2181</v>
      </c>
      <c r="B191" s="2091" t="s">
        <v>14</v>
      </c>
      <c r="C191" s="2091" t="s">
        <v>2894</v>
      </c>
      <c r="D191" s="2091" t="s">
        <v>2895</v>
      </c>
      <c r="E191" s="2091" t="s">
        <v>2896</v>
      </c>
      <c r="F191" s="2091" t="s">
        <v>2293</v>
      </c>
      <c r="G191" s="2091" t="s">
        <v>24</v>
      </c>
      <c r="H191" s="2091" t="s">
        <v>24</v>
      </c>
      <c r="I191" s="2091" t="s">
        <v>706</v>
      </c>
    </row>
    <row r="192" spans="1:9" ht="11.25" customHeight="1">
      <c r="A192" s="2091" t="s">
        <v>2181</v>
      </c>
      <c r="B192" s="2091" t="s">
        <v>14</v>
      </c>
      <c r="C192" s="2091" t="s">
        <v>2897</v>
      </c>
      <c r="D192" s="2091" t="s">
        <v>2898</v>
      </c>
      <c r="E192" s="2091" t="s">
        <v>2899</v>
      </c>
      <c r="F192" s="2091" t="s">
        <v>2218</v>
      </c>
      <c r="G192" s="2091" t="s">
        <v>2900</v>
      </c>
      <c r="H192" s="2091" t="s">
        <v>24</v>
      </c>
      <c r="I192" s="2091" t="s">
        <v>706</v>
      </c>
    </row>
    <row r="193" spans="1:9" ht="11.25" customHeight="1">
      <c r="A193" s="2091" t="s">
        <v>2181</v>
      </c>
      <c r="B193" s="2091" t="s">
        <v>14</v>
      </c>
      <c r="C193" s="2091" t="s">
        <v>2901</v>
      </c>
      <c r="D193" s="2091" t="s">
        <v>2902</v>
      </c>
      <c r="E193" s="2091" t="s">
        <v>2903</v>
      </c>
      <c r="F193" s="2091" t="s">
        <v>2468</v>
      </c>
      <c r="G193" s="2091" t="s">
        <v>24</v>
      </c>
      <c r="H193" s="2091" t="s">
        <v>24</v>
      </c>
      <c r="I193" s="2091" t="s">
        <v>706</v>
      </c>
    </row>
    <row r="194" spans="1:9" ht="11.25" customHeight="1">
      <c r="A194" s="2091" t="s">
        <v>2181</v>
      </c>
      <c r="B194" s="2091" t="s">
        <v>14</v>
      </c>
      <c r="C194" s="2091" t="s">
        <v>2904</v>
      </c>
      <c r="D194" s="2091" t="s">
        <v>2905</v>
      </c>
      <c r="E194" s="2091" t="s">
        <v>2906</v>
      </c>
      <c r="F194" s="2091" t="s">
        <v>2383</v>
      </c>
      <c r="G194" s="2091" t="s">
        <v>24</v>
      </c>
      <c r="H194" s="2091" t="s">
        <v>24</v>
      </c>
      <c r="I194" s="2091" t="s">
        <v>706</v>
      </c>
    </row>
    <row r="195" spans="1:9" ht="11.25" customHeight="1">
      <c r="A195" s="2091" t="s">
        <v>2181</v>
      </c>
      <c r="B195" s="2091" t="s">
        <v>14</v>
      </c>
      <c r="C195" s="2091" t="s">
        <v>2907</v>
      </c>
      <c r="D195" s="2091" t="s">
        <v>2908</v>
      </c>
      <c r="E195" s="2091" t="s">
        <v>2909</v>
      </c>
      <c r="F195" s="2091" t="s">
        <v>2709</v>
      </c>
      <c r="G195" s="2091" t="s">
        <v>24</v>
      </c>
      <c r="H195" s="2091" t="s">
        <v>24</v>
      </c>
      <c r="I195" s="2091" t="s">
        <v>706</v>
      </c>
    </row>
    <row r="196" spans="1:9" ht="11.25" customHeight="1">
      <c r="A196" s="2091" t="s">
        <v>2181</v>
      </c>
      <c r="B196" s="2091" t="s">
        <v>14</v>
      </c>
      <c r="C196" s="2091" t="s">
        <v>2910</v>
      </c>
      <c r="D196" s="2091" t="s">
        <v>2911</v>
      </c>
      <c r="E196" s="2091" t="s">
        <v>2912</v>
      </c>
      <c r="F196" s="2091" t="s">
        <v>2293</v>
      </c>
      <c r="G196" s="2091" t="s">
        <v>24</v>
      </c>
      <c r="H196" s="2091" t="s">
        <v>24</v>
      </c>
      <c r="I196" s="2091" t="s">
        <v>706</v>
      </c>
    </row>
    <row r="197" spans="1:9" ht="11.25" customHeight="1">
      <c r="A197" s="2091" t="s">
        <v>2181</v>
      </c>
      <c r="B197" s="2091" t="s">
        <v>14</v>
      </c>
      <c r="C197" s="2091" t="s">
        <v>2913</v>
      </c>
      <c r="D197" s="2091" t="s">
        <v>2914</v>
      </c>
      <c r="E197" s="2091" t="s">
        <v>2915</v>
      </c>
      <c r="F197" s="2091" t="s">
        <v>2679</v>
      </c>
      <c r="G197" s="2091" t="s">
        <v>24</v>
      </c>
      <c r="H197" s="2091" t="s">
        <v>24</v>
      </c>
      <c r="I197" s="2091" t="s">
        <v>706</v>
      </c>
    </row>
    <row r="198" spans="1:9" ht="11.25" customHeight="1">
      <c r="A198" s="2091" t="s">
        <v>2181</v>
      </c>
      <c r="B198" s="2091" t="s">
        <v>14</v>
      </c>
      <c r="C198" s="2091" t="s">
        <v>2916</v>
      </c>
      <c r="D198" s="2091" t="s">
        <v>2917</v>
      </c>
      <c r="E198" s="2091" t="s">
        <v>2918</v>
      </c>
      <c r="F198" s="2091" t="s">
        <v>2250</v>
      </c>
      <c r="G198" s="2091" t="s">
        <v>24</v>
      </c>
      <c r="H198" s="2091" t="s">
        <v>24</v>
      </c>
      <c r="I198" s="2091" t="s">
        <v>706</v>
      </c>
    </row>
    <row r="199" spans="1:9" ht="11.25" customHeight="1">
      <c r="A199" s="2091" t="s">
        <v>2181</v>
      </c>
      <c r="B199" s="2091" t="s">
        <v>14</v>
      </c>
      <c r="C199" s="2091" t="s">
        <v>2919</v>
      </c>
      <c r="D199" s="2091" t="s">
        <v>2920</v>
      </c>
      <c r="E199" s="2091" t="s">
        <v>2921</v>
      </c>
      <c r="F199" s="2091" t="s">
        <v>2255</v>
      </c>
      <c r="G199" s="2091" t="s">
        <v>24</v>
      </c>
      <c r="H199" s="2091" t="s">
        <v>24</v>
      </c>
      <c r="I199" s="2091" t="s">
        <v>706</v>
      </c>
    </row>
    <row r="200" spans="1:9" ht="11.25" customHeight="1">
      <c r="A200" s="2091" t="s">
        <v>2181</v>
      </c>
      <c r="B200" s="2091" t="s">
        <v>14</v>
      </c>
      <c r="C200" s="2091" t="s">
        <v>2922</v>
      </c>
      <c r="D200" s="2091" t="s">
        <v>2923</v>
      </c>
      <c r="E200" s="2091" t="s">
        <v>2924</v>
      </c>
      <c r="F200" s="2091" t="s">
        <v>2218</v>
      </c>
      <c r="G200" s="2091" t="s">
        <v>24</v>
      </c>
      <c r="H200" s="2091" t="s">
        <v>24</v>
      </c>
      <c r="I200" s="2091" t="s">
        <v>706</v>
      </c>
    </row>
    <row r="201" spans="1:9" ht="11.25" customHeight="1">
      <c r="A201" s="2091" t="s">
        <v>2181</v>
      </c>
      <c r="B201" s="2091" t="s">
        <v>14</v>
      </c>
      <c r="C201" s="2091" t="s">
        <v>2925</v>
      </c>
      <c r="D201" s="2091" t="s">
        <v>2926</v>
      </c>
      <c r="E201" s="2091" t="s">
        <v>2927</v>
      </c>
      <c r="F201" s="2091" t="s">
        <v>2334</v>
      </c>
      <c r="G201" s="2091" t="s">
        <v>24</v>
      </c>
      <c r="H201" s="2091" t="s">
        <v>24</v>
      </c>
      <c r="I201" s="2091" t="s">
        <v>706</v>
      </c>
    </row>
    <row r="202" spans="1:9" ht="11.25" customHeight="1">
      <c r="A202" s="2091" t="s">
        <v>2181</v>
      </c>
      <c r="B202" s="2091" t="s">
        <v>14</v>
      </c>
      <c r="C202" s="2091" t="s">
        <v>2928</v>
      </c>
      <c r="D202" s="2091" t="s">
        <v>2929</v>
      </c>
      <c r="E202" s="2091" t="s">
        <v>2930</v>
      </c>
      <c r="F202" s="2091" t="s">
        <v>2255</v>
      </c>
      <c r="G202" s="2091" t="s">
        <v>2931</v>
      </c>
      <c r="H202" s="2091" t="s">
        <v>24</v>
      </c>
      <c r="I202" s="2091" t="s">
        <v>706</v>
      </c>
    </row>
    <row r="203" spans="1:9" ht="11.25" customHeight="1">
      <c r="A203" s="2091" t="s">
        <v>2181</v>
      </c>
      <c r="B203" s="2091" t="s">
        <v>14</v>
      </c>
      <c r="C203" s="2091" t="s">
        <v>2932</v>
      </c>
      <c r="D203" s="2091" t="s">
        <v>2933</v>
      </c>
      <c r="E203" s="2091" t="s">
        <v>2934</v>
      </c>
      <c r="F203" s="2091" t="s">
        <v>2679</v>
      </c>
      <c r="G203" s="2091" t="s">
        <v>24</v>
      </c>
      <c r="H203" s="2091" t="s">
        <v>24</v>
      </c>
      <c r="I203" s="2091" t="s">
        <v>706</v>
      </c>
    </row>
    <row r="204" spans="1:9" ht="11.25" customHeight="1">
      <c r="A204" s="2091" t="s">
        <v>2181</v>
      </c>
      <c r="B204" s="2091" t="s">
        <v>14</v>
      </c>
      <c r="C204" s="2091" t="s">
        <v>2935</v>
      </c>
      <c r="D204" s="2091" t="s">
        <v>2936</v>
      </c>
      <c r="E204" s="2091" t="s">
        <v>2937</v>
      </c>
      <c r="F204" s="2091" t="s">
        <v>2578</v>
      </c>
      <c r="G204" s="2091" t="s">
        <v>24</v>
      </c>
      <c r="H204" s="2091" t="s">
        <v>24</v>
      </c>
      <c r="I204" s="2091" t="s">
        <v>706</v>
      </c>
    </row>
    <row r="205" spans="1:9" ht="11.25" customHeight="1">
      <c r="A205" s="2091" t="s">
        <v>2181</v>
      </c>
      <c r="B205" s="2091" t="s">
        <v>14</v>
      </c>
      <c r="C205" s="2091" t="s">
        <v>2938</v>
      </c>
      <c r="D205" s="2091" t="s">
        <v>2939</v>
      </c>
      <c r="E205" s="2091" t="s">
        <v>2940</v>
      </c>
      <c r="F205" s="2091" t="s">
        <v>2610</v>
      </c>
      <c r="G205" s="2091" t="s">
        <v>24</v>
      </c>
      <c r="H205" s="2091" t="s">
        <v>24</v>
      </c>
      <c r="I205" s="2091" t="s">
        <v>706</v>
      </c>
    </row>
    <row r="206" spans="1:9" ht="11.25" customHeight="1">
      <c r="A206" s="2091" t="s">
        <v>2181</v>
      </c>
      <c r="B206" s="2091" t="s">
        <v>14</v>
      </c>
      <c r="C206" s="2091" t="s">
        <v>2941</v>
      </c>
      <c r="D206" s="2091" t="s">
        <v>2942</v>
      </c>
      <c r="E206" s="2091" t="s">
        <v>2943</v>
      </c>
      <c r="F206" s="2091" t="s">
        <v>2278</v>
      </c>
      <c r="G206" s="2091" t="s">
        <v>24</v>
      </c>
      <c r="H206" s="2091" t="s">
        <v>24</v>
      </c>
      <c r="I206" s="2091" t="s">
        <v>706</v>
      </c>
    </row>
    <row r="207" spans="1:9" ht="11.25" customHeight="1">
      <c r="A207" s="2091" t="s">
        <v>2181</v>
      </c>
      <c r="B207" s="2091" t="s">
        <v>14</v>
      </c>
      <c r="C207" s="2091" t="s">
        <v>2944</v>
      </c>
      <c r="D207" s="2091" t="s">
        <v>2945</v>
      </c>
      <c r="E207" s="2091" t="s">
        <v>2946</v>
      </c>
      <c r="F207" s="2091" t="s">
        <v>2198</v>
      </c>
      <c r="G207" s="2091" t="s">
        <v>24</v>
      </c>
      <c r="H207" s="2091" t="s">
        <v>24</v>
      </c>
      <c r="I207" s="2091" t="s">
        <v>706</v>
      </c>
    </row>
    <row r="208" spans="1:9" ht="11.25" customHeight="1">
      <c r="A208" s="2091" t="s">
        <v>2181</v>
      </c>
      <c r="B208" s="2091" t="s">
        <v>14</v>
      </c>
      <c r="C208" s="2091" t="s">
        <v>2947</v>
      </c>
      <c r="D208" s="2091" t="s">
        <v>2948</v>
      </c>
      <c r="E208" s="2091" t="s">
        <v>2949</v>
      </c>
      <c r="F208" s="2091" t="s">
        <v>2343</v>
      </c>
      <c r="G208" s="2091" t="s">
        <v>24</v>
      </c>
      <c r="H208" s="2091" t="s">
        <v>24</v>
      </c>
      <c r="I208" s="2091" t="s">
        <v>706</v>
      </c>
    </row>
    <row r="209" spans="1:9" ht="11.25" customHeight="1">
      <c r="A209" s="2091" t="s">
        <v>2181</v>
      </c>
      <c r="B209" s="2091" t="s">
        <v>14</v>
      </c>
      <c r="C209" s="2091" t="s">
        <v>2950</v>
      </c>
      <c r="D209" s="2091" t="s">
        <v>2951</v>
      </c>
      <c r="E209" s="2091" t="s">
        <v>2952</v>
      </c>
      <c r="F209" s="2091" t="s">
        <v>2250</v>
      </c>
      <c r="G209" s="2091" t="s">
        <v>24</v>
      </c>
      <c r="H209" s="2091" t="s">
        <v>24</v>
      </c>
      <c r="I209" s="2091" t="s">
        <v>706</v>
      </c>
    </row>
    <row r="210" spans="1:9" ht="11.25" customHeight="1">
      <c r="A210" s="2091" t="s">
        <v>2181</v>
      </c>
      <c r="B210" s="2091" t="s">
        <v>14</v>
      </c>
      <c r="C210" s="2091" t="s">
        <v>2953</v>
      </c>
      <c r="D210" s="2091" t="s">
        <v>2954</v>
      </c>
      <c r="E210" s="2091" t="s">
        <v>2955</v>
      </c>
      <c r="F210" s="2091" t="s">
        <v>2725</v>
      </c>
      <c r="G210" s="2091" t="s">
        <v>2956</v>
      </c>
      <c r="H210" s="2091" t="s">
        <v>24</v>
      </c>
      <c r="I210" s="2091" t="s">
        <v>706</v>
      </c>
    </row>
    <row r="211" spans="1:9" ht="11.25" customHeight="1">
      <c r="A211" s="2091" t="s">
        <v>2181</v>
      </c>
      <c r="B211" s="2091" t="s">
        <v>14</v>
      </c>
      <c r="C211" s="2091" t="s">
        <v>2957</v>
      </c>
      <c r="D211" s="2091" t="s">
        <v>2958</v>
      </c>
      <c r="E211" s="2091" t="s">
        <v>2959</v>
      </c>
      <c r="F211" s="2091" t="s">
        <v>2338</v>
      </c>
      <c r="G211" s="2091" t="s">
        <v>24</v>
      </c>
      <c r="H211" s="2091" t="s">
        <v>24</v>
      </c>
      <c r="I211" s="2091" t="s">
        <v>706</v>
      </c>
    </row>
    <row r="212" spans="1:9" ht="11.25" customHeight="1">
      <c r="A212" s="2091" t="s">
        <v>2181</v>
      </c>
      <c r="B212" s="2091" t="s">
        <v>14</v>
      </c>
      <c r="C212" s="2091" t="s">
        <v>2960</v>
      </c>
      <c r="D212" s="2091" t="s">
        <v>2961</v>
      </c>
      <c r="E212" s="2091" t="s">
        <v>2962</v>
      </c>
      <c r="F212" s="2091" t="s">
        <v>2343</v>
      </c>
      <c r="G212" s="2091" t="s">
        <v>2963</v>
      </c>
      <c r="H212" s="2091" t="s">
        <v>24</v>
      </c>
      <c r="I212" s="2091" t="s">
        <v>706</v>
      </c>
    </row>
    <row r="213" spans="1:9" ht="11.25" customHeight="1">
      <c r="A213" s="2091" t="s">
        <v>2181</v>
      </c>
      <c r="B213" s="2091" t="s">
        <v>14</v>
      </c>
      <c r="C213" s="2091" t="s">
        <v>2964</v>
      </c>
      <c r="D213" s="2091" t="s">
        <v>2965</v>
      </c>
      <c r="E213" s="2091" t="s">
        <v>2966</v>
      </c>
      <c r="F213" s="2091" t="s">
        <v>2338</v>
      </c>
      <c r="G213" s="2091" t="s">
        <v>24</v>
      </c>
      <c r="H213" s="2091" t="s">
        <v>24</v>
      </c>
      <c r="I213" s="2091" t="s">
        <v>706</v>
      </c>
    </row>
    <row r="214" spans="1:9" ht="11.25" customHeight="1">
      <c r="A214" s="2091" t="s">
        <v>2181</v>
      </c>
      <c r="B214" s="2091" t="s">
        <v>14</v>
      </c>
      <c r="C214" s="2091" t="s">
        <v>2967</v>
      </c>
      <c r="D214" s="2091" t="s">
        <v>2968</v>
      </c>
      <c r="E214" s="2091" t="s">
        <v>2969</v>
      </c>
      <c r="F214" s="2091" t="s">
        <v>2226</v>
      </c>
      <c r="G214" s="2091" t="s">
        <v>24</v>
      </c>
      <c r="H214" s="2091" t="s">
        <v>24</v>
      </c>
      <c r="I214" s="2091" t="s">
        <v>706</v>
      </c>
    </row>
    <row r="215" spans="1:9" ht="11.25" customHeight="1">
      <c r="A215" s="2091" t="s">
        <v>2181</v>
      </c>
      <c r="B215" s="2091" t="s">
        <v>14</v>
      </c>
      <c r="C215" s="2091" t="s">
        <v>2970</v>
      </c>
      <c r="D215" s="2091" t="s">
        <v>2971</v>
      </c>
      <c r="E215" s="2091" t="s">
        <v>2972</v>
      </c>
      <c r="F215" s="2091" t="s">
        <v>2343</v>
      </c>
      <c r="G215" s="2091" t="s">
        <v>24</v>
      </c>
      <c r="H215" s="2091" t="s">
        <v>24</v>
      </c>
      <c r="I215" s="2091" t="s">
        <v>706</v>
      </c>
    </row>
    <row r="216" spans="1:9" ht="11.25" customHeight="1">
      <c r="A216" s="2091" t="s">
        <v>2181</v>
      </c>
      <c r="B216" s="2091" t="s">
        <v>14</v>
      </c>
      <c r="C216" s="2091" t="s">
        <v>2973</v>
      </c>
      <c r="D216" s="2091" t="s">
        <v>2974</v>
      </c>
      <c r="E216" s="2091" t="s">
        <v>2975</v>
      </c>
      <c r="F216" s="2091" t="s">
        <v>2317</v>
      </c>
      <c r="G216" s="2091" t="s">
        <v>24</v>
      </c>
      <c r="H216" s="2091" t="s">
        <v>24</v>
      </c>
      <c r="I216" s="2091" t="s">
        <v>706</v>
      </c>
    </row>
    <row r="217" spans="1:9" ht="11.25" customHeight="1">
      <c r="A217" s="2091" t="s">
        <v>2181</v>
      </c>
      <c r="B217" s="2091" t="s">
        <v>14</v>
      </c>
      <c r="C217" s="2091" t="s">
        <v>2976</v>
      </c>
      <c r="D217" s="2091" t="s">
        <v>2977</v>
      </c>
      <c r="E217" s="2091" t="s">
        <v>2978</v>
      </c>
      <c r="F217" s="2091" t="s">
        <v>2679</v>
      </c>
      <c r="G217" s="2091" t="s">
        <v>2979</v>
      </c>
      <c r="H217" s="2091" t="s">
        <v>24</v>
      </c>
      <c r="I217" s="2091" t="s">
        <v>706</v>
      </c>
    </row>
    <row r="218" spans="1:9" ht="11.25" customHeight="1">
      <c r="A218" s="2091" t="s">
        <v>2181</v>
      </c>
      <c r="B218" s="2091" t="s">
        <v>14</v>
      </c>
      <c r="C218" s="2091" t="s">
        <v>2980</v>
      </c>
      <c r="D218" s="2091" t="s">
        <v>2981</v>
      </c>
      <c r="E218" s="2091" t="s">
        <v>2982</v>
      </c>
      <c r="F218" s="2091" t="s">
        <v>2683</v>
      </c>
      <c r="G218" s="2091" t="s">
        <v>2983</v>
      </c>
      <c r="H218" s="2091" t="s">
        <v>24</v>
      </c>
      <c r="I218" s="2091" t="s">
        <v>706</v>
      </c>
    </row>
    <row r="219" spans="1:9" ht="11.25" customHeight="1">
      <c r="A219" s="2091" t="s">
        <v>2181</v>
      </c>
      <c r="B219" s="2091" t="s">
        <v>14</v>
      </c>
      <c r="C219" s="2091" t="s">
        <v>2984</v>
      </c>
      <c r="D219" s="2091" t="s">
        <v>2985</v>
      </c>
      <c r="E219" s="2091" t="s">
        <v>2986</v>
      </c>
      <c r="F219" s="2091" t="s">
        <v>2218</v>
      </c>
      <c r="G219" s="2091" t="s">
        <v>24</v>
      </c>
      <c r="H219" s="2091" t="s">
        <v>24</v>
      </c>
      <c r="I219" s="2091" t="s">
        <v>706</v>
      </c>
    </row>
    <row r="220" spans="1:9" ht="11.25" customHeight="1">
      <c r="A220" s="2091" t="s">
        <v>2181</v>
      </c>
      <c r="B220" s="2091" t="s">
        <v>14</v>
      </c>
      <c r="C220" s="2091" t="s">
        <v>2987</v>
      </c>
      <c r="D220" s="2091" t="s">
        <v>2988</v>
      </c>
      <c r="E220" s="2091" t="s">
        <v>2989</v>
      </c>
      <c r="F220" s="2091" t="s">
        <v>2218</v>
      </c>
      <c r="G220" s="2091" t="s">
        <v>24</v>
      </c>
      <c r="H220" s="2091" t="s">
        <v>24</v>
      </c>
      <c r="I220" s="2091" t="s">
        <v>706</v>
      </c>
    </row>
    <row r="221" spans="1:9" ht="11.25" customHeight="1">
      <c r="A221" s="2091" t="s">
        <v>2181</v>
      </c>
      <c r="B221" s="2091" t="s">
        <v>14</v>
      </c>
      <c r="C221" s="2091" t="s">
        <v>2990</v>
      </c>
      <c r="D221" s="2091" t="s">
        <v>2991</v>
      </c>
      <c r="E221" s="2091" t="s">
        <v>2992</v>
      </c>
      <c r="F221" s="2091" t="s">
        <v>2194</v>
      </c>
      <c r="G221" s="2091" t="s">
        <v>24</v>
      </c>
      <c r="H221" s="2091" t="s">
        <v>24</v>
      </c>
      <c r="I221" s="2091" t="s">
        <v>706</v>
      </c>
    </row>
    <row r="222" spans="1:9" ht="11.25" customHeight="1">
      <c r="A222" s="2091" t="s">
        <v>2181</v>
      </c>
      <c r="B222" s="2091" t="s">
        <v>14</v>
      </c>
      <c r="C222" s="2091" t="s">
        <v>2993</v>
      </c>
      <c r="D222" s="2091" t="s">
        <v>2994</v>
      </c>
      <c r="E222" s="2091" t="s">
        <v>2995</v>
      </c>
      <c r="F222" s="2091" t="s">
        <v>2226</v>
      </c>
      <c r="G222" s="2091" t="s">
        <v>24</v>
      </c>
      <c r="H222" s="2091" t="s">
        <v>24</v>
      </c>
      <c r="I222" s="2091" t="s">
        <v>706</v>
      </c>
    </row>
    <row r="223" spans="1:9" ht="11.25" customHeight="1">
      <c r="A223" s="2091" t="s">
        <v>2181</v>
      </c>
      <c r="B223" s="2091" t="s">
        <v>14</v>
      </c>
      <c r="C223" s="2091" t="s">
        <v>2996</v>
      </c>
      <c r="D223" s="2091" t="s">
        <v>2997</v>
      </c>
      <c r="E223" s="2091" t="s">
        <v>2998</v>
      </c>
      <c r="F223" s="2091" t="s">
        <v>2679</v>
      </c>
      <c r="G223" s="2091" t="s">
        <v>2999</v>
      </c>
      <c r="H223" s="2091" t="s">
        <v>24</v>
      </c>
      <c r="I223" s="2091" t="s">
        <v>706</v>
      </c>
    </row>
    <row r="224" spans="1:9" ht="11.25" customHeight="1">
      <c r="A224" s="2091" t="s">
        <v>2181</v>
      </c>
      <c r="B224" s="2091" t="s">
        <v>14</v>
      </c>
      <c r="C224" s="2091" t="s">
        <v>3000</v>
      </c>
      <c r="D224" s="2091" t="s">
        <v>3001</v>
      </c>
      <c r="E224" s="2091" t="s">
        <v>3002</v>
      </c>
      <c r="F224" s="2091" t="s">
        <v>2383</v>
      </c>
      <c r="G224" s="2091" t="s">
        <v>24</v>
      </c>
      <c r="H224" s="2091" t="s">
        <v>24</v>
      </c>
      <c r="I224" s="2091" t="s">
        <v>706</v>
      </c>
    </row>
    <row r="225" spans="1:9" ht="11.25" customHeight="1">
      <c r="A225" s="2091" t="s">
        <v>2181</v>
      </c>
      <c r="B225" s="2091" t="s">
        <v>14</v>
      </c>
      <c r="C225" s="2091" t="s">
        <v>3003</v>
      </c>
      <c r="D225" s="2091" t="s">
        <v>3004</v>
      </c>
      <c r="E225" s="2091" t="s">
        <v>3005</v>
      </c>
      <c r="F225" s="2091" t="s">
        <v>2255</v>
      </c>
      <c r="G225" s="2091" t="s">
        <v>24</v>
      </c>
      <c r="H225" s="2091" t="s">
        <v>24</v>
      </c>
      <c r="I225" s="2091" t="s">
        <v>706</v>
      </c>
    </row>
    <row r="226" spans="1:9" ht="11.25" customHeight="1">
      <c r="A226" s="2091" t="s">
        <v>2181</v>
      </c>
      <c r="B226" s="2091" t="s">
        <v>14</v>
      </c>
      <c r="C226" s="2091" t="s">
        <v>3006</v>
      </c>
      <c r="D226" s="2091" t="s">
        <v>3007</v>
      </c>
      <c r="E226" s="2091" t="s">
        <v>3008</v>
      </c>
      <c r="F226" s="2091" t="s">
        <v>2334</v>
      </c>
      <c r="G226" s="2091" t="s">
        <v>24</v>
      </c>
      <c r="H226" s="2091" t="s">
        <v>24</v>
      </c>
      <c r="I226" s="2091" t="s">
        <v>706</v>
      </c>
    </row>
    <row r="227" spans="1:9" ht="11.25" customHeight="1">
      <c r="A227" s="2091" t="s">
        <v>2181</v>
      </c>
      <c r="B227" s="2091" t="s">
        <v>14</v>
      </c>
      <c r="C227" s="2091" t="s">
        <v>3009</v>
      </c>
      <c r="D227" s="2091" t="s">
        <v>3010</v>
      </c>
      <c r="E227" s="2091" t="s">
        <v>3011</v>
      </c>
      <c r="F227" s="2091" t="s">
        <v>2365</v>
      </c>
      <c r="G227" s="2091" t="s">
        <v>24</v>
      </c>
      <c r="H227" s="2091" t="s">
        <v>24</v>
      </c>
      <c r="I227" s="2091" t="s">
        <v>706</v>
      </c>
    </row>
    <row r="228" spans="1:9" ht="11.25" customHeight="1">
      <c r="A228" s="2091" t="s">
        <v>2181</v>
      </c>
      <c r="B228" s="2091" t="s">
        <v>14</v>
      </c>
      <c r="C228" s="2091" t="s">
        <v>3012</v>
      </c>
      <c r="D228" s="2091" t="s">
        <v>3013</v>
      </c>
      <c r="E228" s="2091" t="s">
        <v>3014</v>
      </c>
      <c r="F228" s="2091" t="s">
        <v>2578</v>
      </c>
      <c r="G228" s="2091" t="s">
        <v>24</v>
      </c>
      <c r="H228" s="2091" t="s">
        <v>24</v>
      </c>
      <c r="I228" s="2091" t="s">
        <v>706</v>
      </c>
    </row>
    <row r="229" spans="1:9" ht="11.25" customHeight="1">
      <c r="A229" s="2091" t="s">
        <v>2181</v>
      </c>
      <c r="B229" s="2091" t="s">
        <v>14</v>
      </c>
      <c r="C229" s="2091" t="s">
        <v>3015</v>
      </c>
      <c r="D229" s="2091" t="s">
        <v>3016</v>
      </c>
      <c r="E229" s="2091" t="s">
        <v>3017</v>
      </c>
      <c r="F229" s="2091" t="s">
        <v>2293</v>
      </c>
      <c r="G229" s="2091" t="s">
        <v>24</v>
      </c>
      <c r="H229" s="2091" t="s">
        <v>24</v>
      </c>
      <c r="I229" s="2091" t="s">
        <v>706</v>
      </c>
    </row>
    <row r="230" spans="1:9" ht="11.25" customHeight="1">
      <c r="A230" s="2091" t="s">
        <v>2181</v>
      </c>
      <c r="B230" s="2091" t="s">
        <v>14</v>
      </c>
      <c r="C230" s="2091" t="s">
        <v>3018</v>
      </c>
      <c r="D230" s="2091" t="s">
        <v>3019</v>
      </c>
      <c r="E230" s="2091" t="s">
        <v>3020</v>
      </c>
      <c r="F230" s="2091" t="s">
        <v>2631</v>
      </c>
      <c r="G230" s="2091" t="s">
        <v>24</v>
      </c>
      <c r="H230" s="2091" t="s">
        <v>24</v>
      </c>
      <c r="I230" s="2091" t="s">
        <v>706</v>
      </c>
    </row>
    <row r="231" spans="1:9" ht="11.25" customHeight="1">
      <c r="A231" s="2091" t="s">
        <v>2181</v>
      </c>
      <c r="B231" s="2091" t="s">
        <v>14</v>
      </c>
      <c r="C231" s="2091" t="s">
        <v>3021</v>
      </c>
      <c r="D231" s="2091" t="s">
        <v>3022</v>
      </c>
      <c r="E231" s="2091" t="s">
        <v>3023</v>
      </c>
      <c r="F231" s="2091" t="s">
        <v>2293</v>
      </c>
      <c r="G231" s="2091" t="s">
        <v>24</v>
      </c>
      <c r="H231" s="2091" t="s">
        <v>24</v>
      </c>
      <c r="I231" s="2091" t="s">
        <v>706</v>
      </c>
    </row>
    <row r="232" spans="1:9" ht="11.25" customHeight="1">
      <c r="A232" s="2091" t="s">
        <v>2181</v>
      </c>
      <c r="B232" s="2091" t="s">
        <v>14</v>
      </c>
      <c r="C232" s="2091" t="s">
        <v>3024</v>
      </c>
      <c r="D232" s="2091" t="s">
        <v>3025</v>
      </c>
      <c r="E232" s="2091" t="s">
        <v>3026</v>
      </c>
      <c r="F232" s="2091" t="s">
        <v>2250</v>
      </c>
      <c r="G232" s="2091" t="s">
        <v>3027</v>
      </c>
      <c r="H232" s="2091" t="s">
        <v>24</v>
      </c>
      <c r="I232" s="2091" t="s">
        <v>706</v>
      </c>
    </row>
    <row r="233" spans="1:9" ht="11.25" customHeight="1">
      <c r="A233" s="2091" t="s">
        <v>2181</v>
      </c>
      <c r="B233" s="2091" t="s">
        <v>14</v>
      </c>
      <c r="C233" s="2091" t="s">
        <v>3028</v>
      </c>
      <c r="D233" s="2091" t="s">
        <v>3029</v>
      </c>
      <c r="E233" s="2091" t="s">
        <v>3030</v>
      </c>
      <c r="F233" s="2091" t="s">
        <v>2317</v>
      </c>
      <c r="G233" s="2091" t="s">
        <v>24</v>
      </c>
      <c r="H233" s="2091" t="s">
        <v>3031</v>
      </c>
      <c r="I233" s="2091" t="s">
        <v>706</v>
      </c>
    </row>
    <row r="234" spans="1:9" ht="11.25" customHeight="1">
      <c r="A234" s="2091" t="s">
        <v>2181</v>
      </c>
      <c r="B234" s="2091" t="s">
        <v>14</v>
      </c>
      <c r="C234" s="2091" t="s">
        <v>3032</v>
      </c>
      <c r="D234" s="2091" t="s">
        <v>3033</v>
      </c>
      <c r="E234" s="2091" t="s">
        <v>3034</v>
      </c>
      <c r="F234" s="2091" t="s">
        <v>2365</v>
      </c>
      <c r="G234" s="2091" t="s">
        <v>24</v>
      </c>
      <c r="H234" s="2091" t="s">
        <v>24</v>
      </c>
      <c r="I234" s="2091" t="s">
        <v>706</v>
      </c>
    </row>
    <row r="235" spans="1:9" ht="11.25" customHeight="1">
      <c r="A235" s="2091" t="s">
        <v>2181</v>
      </c>
      <c r="B235" s="2091" t="s">
        <v>14</v>
      </c>
      <c r="C235" s="2091" t="s">
        <v>3035</v>
      </c>
      <c r="D235" s="2091" t="s">
        <v>3036</v>
      </c>
      <c r="E235" s="2091" t="s">
        <v>3037</v>
      </c>
      <c r="F235" s="2091" t="s">
        <v>2334</v>
      </c>
      <c r="G235" s="2091" t="s">
        <v>24</v>
      </c>
      <c r="H235" s="2091" t="s">
        <v>24</v>
      </c>
      <c r="I235" s="2091" t="s">
        <v>706</v>
      </c>
    </row>
    <row r="236" spans="1:9" ht="11.25" customHeight="1">
      <c r="A236" s="2091" t="s">
        <v>2181</v>
      </c>
      <c r="B236" s="2091" t="s">
        <v>14</v>
      </c>
      <c r="C236" s="2091" t="s">
        <v>3038</v>
      </c>
      <c r="D236" s="2091" t="s">
        <v>3039</v>
      </c>
      <c r="E236" s="2091" t="s">
        <v>3040</v>
      </c>
      <c r="F236" s="2091" t="s">
        <v>2334</v>
      </c>
      <c r="G236" s="2091" t="s">
        <v>24</v>
      </c>
      <c r="H236" s="2091" t="s">
        <v>24</v>
      </c>
      <c r="I236" s="2091" t="s">
        <v>706</v>
      </c>
    </row>
    <row r="237" spans="1:9" ht="11.25" customHeight="1">
      <c r="A237" s="2091" t="s">
        <v>2181</v>
      </c>
      <c r="B237" s="2091" t="s">
        <v>14</v>
      </c>
      <c r="C237" s="2091" t="s">
        <v>3041</v>
      </c>
      <c r="D237" s="2091" t="s">
        <v>3042</v>
      </c>
      <c r="E237" s="2091" t="s">
        <v>3043</v>
      </c>
      <c r="F237" s="2091" t="s">
        <v>2343</v>
      </c>
      <c r="G237" s="2091" t="s">
        <v>24</v>
      </c>
      <c r="H237" s="2091" t="s">
        <v>24</v>
      </c>
      <c r="I237" s="2091" t="s">
        <v>706</v>
      </c>
    </row>
    <row r="238" spans="1:9" ht="11.25" customHeight="1">
      <c r="A238" s="2091" t="s">
        <v>2181</v>
      </c>
      <c r="B238" s="2091" t="s">
        <v>14</v>
      </c>
      <c r="C238" s="2091" t="s">
        <v>3044</v>
      </c>
      <c r="D238" s="2091" t="s">
        <v>3045</v>
      </c>
      <c r="E238" s="2091" t="s">
        <v>3046</v>
      </c>
      <c r="F238" s="2091" t="s">
        <v>2317</v>
      </c>
      <c r="G238" s="2091" t="s">
        <v>24</v>
      </c>
      <c r="H238" s="2091" t="s">
        <v>24</v>
      </c>
      <c r="I238" s="2091" t="s">
        <v>706</v>
      </c>
    </row>
    <row r="239" spans="1:9" ht="11.25" customHeight="1">
      <c r="A239" s="2091" t="s">
        <v>2181</v>
      </c>
      <c r="B239" s="2091" t="s">
        <v>14</v>
      </c>
      <c r="C239" s="2091" t="s">
        <v>3047</v>
      </c>
      <c r="D239" s="2091" t="s">
        <v>3048</v>
      </c>
      <c r="E239" s="2091" t="s">
        <v>3049</v>
      </c>
      <c r="F239" s="2091" t="s">
        <v>2631</v>
      </c>
      <c r="G239" s="2091" t="s">
        <v>24</v>
      </c>
      <c r="H239" s="2091" t="s">
        <v>24</v>
      </c>
      <c r="I239" s="2091" t="s">
        <v>706</v>
      </c>
    </row>
    <row r="240" spans="1:9" ht="11.25" customHeight="1">
      <c r="A240" s="2091" t="s">
        <v>2181</v>
      </c>
      <c r="B240" s="2091" t="s">
        <v>14</v>
      </c>
      <c r="C240" s="2091" t="s">
        <v>3050</v>
      </c>
      <c r="D240" s="2091" t="s">
        <v>3051</v>
      </c>
      <c r="E240" s="2091" t="s">
        <v>3052</v>
      </c>
      <c r="F240" s="2091" t="s">
        <v>2255</v>
      </c>
      <c r="G240" s="2091" t="s">
        <v>3053</v>
      </c>
      <c r="H240" s="2091" t="s">
        <v>24</v>
      </c>
      <c r="I240" s="2091" t="s">
        <v>706</v>
      </c>
    </row>
    <row r="241" spans="1:9" ht="11.25" customHeight="1">
      <c r="A241" s="2091" t="s">
        <v>2181</v>
      </c>
      <c r="B241" s="2091" t="s">
        <v>14</v>
      </c>
      <c r="C241" s="2091" t="s">
        <v>3054</v>
      </c>
      <c r="D241" s="2091" t="s">
        <v>3055</v>
      </c>
      <c r="E241" s="2091" t="s">
        <v>3056</v>
      </c>
      <c r="F241" s="2091" t="s">
        <v>2361</v>
      </c>
      <c r="G241" s="2091" t="s">
        <v>24</v>
      </c>
      <c r="H241" s="2091" t="s">
        <v>24</v>
      </c>
      <c r="I241" s="2091" t="s">
        <v>706</v>
      </c>
    </row>
    <row r="242" spans="1:9" ht="11.25" customHeight="1">
      <c r="A242" s="2091" t="s">
        <v>2181</v>
      </c>
      <c r="B242" s="2091" t="s">
        <v>14</v>
      </c>
      <c r="C242" s="2091" t="s">
        <v>3057</v>
      </c>
      <c r="D242" s="2091" t="s">
        <v>3055</v>
      </c>
      <c r="E242" s="2091" t="s">
        <v>3058</v>
      </c>
      <c r="F242" s="2091" t="s">
        <v>2338</v>
      </c>
      <c r="G242" s="2091" t="s">
        <v>24</v>
      </c>
      <c r="H242" s="2091" t="s">
        <v>24</v>
      </c>
      <c r="I242" s="2091" t="s">
        <v>706</v>
      </c>
    </row>
    <row r="243" spans="1:9" ht="11.25" customHeight="1">
      <c r="A243" s="2091" t="s">
        <v>2181</v>
      </c>
      <c r="B243" s="2091" t="s">
        <v>14</v>
      </c>
      <c r="C243" s="2091" t="s">
        <v>3059</v>
      </c>
      <c r="D243" s="2091" t="s">
        <v>3060</v>
      </c>
      <c r="E243" s="2091" t="s">
        <v>3061</v>
      </c>
      <c r="F243" s="2091" t="s">
        <v>2383</v>
      </c>
      <c r="G243" s="2091" t="s">
        <v>24</v>
      </c>
      <c r="H243" s="2091" t="s">
        <v>3062</v>
      </c>
      <c r="I243" s="2091" t="s">
        <v>706</v>
      </c>
    </row>
    <row r="244" spans="1:9" ht="11.25" customHeight="1">
      <c r="A244" s="2091" t="s">
        <v>2181</v>
      </c>
      <c r="B244" s="2091" t="s">
        <v>14</v>
      </c>
      <c r="C244" s="2091" t="s">
        <v>3063</v>
      </c>
      <c r="D244" s="2091" t="s">
        <v>3064</v>
      </c>
      <c r="E244" s="2091" t="s">
        <v>3065</v>
      </c>
      <c r="F244" s="2091" t="s">
        <v>2709</v>
      </c>
      <c r="G244" s="2091" t="s">
        <v>24</v>
      </c>
      <c r="H244" s="2091" t="s">
        <v>24</v>
      </c>
      <c r="I244" s="2091" t="s">
        <v>706</v>
      </c>
    </row>
    <row r="245" spans="1:9" ht="11.25" customHeight="1">
      <c r="A245" s="2091" t="s">
        <v>2181</v>
      </c>
      <c r="B245" s="2091" t="s">
        <v>14</v>
      </c>
      <c r="C245" s="2091" t="s">
        <v>3066</v>
      </c>
      <c r="D245" s="2091" t="s">
        <v>3067</v>
      </c>
      <c r="E245" s="2091" t="s">
        <v>3068</v>
      </c>
      <c r="F245" s="2091" t="s">
        <v>2468</v>
      </c>
      <c r="G245" s="2091" t="s">
        <v>24</v>
      </c>
      <c r="H245" s="2091" t="s">
        <v>24</v>
      </c>
      <c r="I245" s="2091" t="s">
        <v>706</v>
      </c>
    </row>
    <row r="246" spans="1:9" ht="11.25" customHeight="1">
      <c r="A246" s="2091" t="s">
        <v>2181</v>
      </c>
      <c r="B246" s="2091" t="s">
        <v>14</v>
      </c>
      <c r="C246" s="2091" t="s">
        <v>3069</v>
      </c>
      <c r="D246" s="2091" t="s">
        <v>3070</v>
      </c>
      <c r="E246" s="2091" t="s">
        <v>3071</v>
      </c>
      <c r="F246" s="2091" t="s">
        <v>2833</v>
      </c>
      <c r="G246" s="2091" t="s">
        <v>24</v>
      </c>
      <c r="H246" s="2091" t="s">
        <v>24</v>
      </c>
      <c r="I246" s="2091" t="s">
        <v>706</v>
      </c>
    </row>
    <row r="247" spans="1:9" ht="11.25" customHeight="1">
      <c r="A247" s="2091" t="s">
        <v>2181</v>
      </c>
      <c r="B247" s="2091" t="s">
        <v>14</v>
      </c>
      <c r="C247" s="2091" t="s">
        <v>3072</v>
      </c>
      <c r="D247" s="2091" t="s">
        <v>3073</v>
      </c>
      <c r="E247" s="2091" t="s">
        <v>3074</v>
      </c>
      <c r="F247" s="2091" t="s">
        <v>2455</v>
      </c>
      <c r="G247" s="2091" t="s">
        <v>24</v>
      </c>
      <c r="H247" s="2091" t="s">
        <v>24</v>
      </c>
      <c r="I247" s="2091" t="s">
        <v>706</v>
      </c>
    </row>
    <row r="248" spans="1:9" ht="11.25" customHeight="1">
      <c r="A248" s="2091" t="s">
        <v>2181</v>
      </c>
      <c r="B248" s="2091" t="s">
        <v>14</v>
      </c>
      <c r="C248" s="2091" t="s">
        <v>3075</v>
      </c>
      <c r="D248" s="2091" t="s">
        <v>3073</v>
      </c>
      <c r="E248" s="2091" t="s">
        <v>3076</v>
      </c>
      <c r="F248" s="2091" t="s">
        <v>2194</v>
      </c>
      <c r="G248" s="2091" t="s">
        <v>24</v>
      </c>
      <c r="H248" s="2091" t="s">
        <v>24</v>
      </c>
      <c r="I248" s="2091" t="s">
        <v>706</v>
      </c>
    </row>
    <row r="249" spans="1:9" ht="11.25" customHeight="1">
      <c r="A249" s="2091" t="s">
        <v>2181</v>
      </c>
      <c r="B249" s="2091" t="s">
        <v>14</v>
      </c>
      <c r="C249" s="2091" t="s">
        <v>3077</v>
      </c>
      <c r="D249" s="2091" t="s">
        <v>3078</v>
      </c>
      <c r="E249" s="2091" t="s">
        <v>3079</v>
      </c>
      <c r="F249" s="2091" t="s">
        <v>2782</v>
      </c>
      <c r="G249" s="2091" t="s">
        <v>3080</v>
      </c>
      <c r="H249" s="2091" t="s">
        <v>24</v>
      </c>
      <c r="I249" s="2091" t="s">
        <v>706</v>
      </c>
    </row>
    <row r="250" spans="1:9" ht="11.25" customHeight="1">
      <c r="A250" s="2091" t="s">
        <v>2181</v>
      </c>
      <c r="B250" s="2091" t="s">
        <v>14</v>
      </c>
      <c r="C250" s="2091" t="s">
        <v>3081</v>
      </c>
      <c r="D250" s="2091" t="s">
        <v>3082</v>
      </c>
      <c r="E250" s="2091" t="s">
        <v>3083</v>
      </c>
      <c r="F250" s="2091" t="s">
        <v>2833</v>
      </c>
      <c r="G250" s="2091" t="s">
        <v>24</v>
      </c>
      <c r="H250" s="2091" t="s">
        <v>3084</v>
      </c>
      <c r="I250" s="2091" t="s">
        <v>706</v>
      </c>
    </row>
    <row r="251" spans="1:9" ht="11.25" customHeight="1">
      <c r="A251" s="2091" t="s">
        <v>2181</v>
      </c>
      <c r="B251" s="2091" t="s">
        <v>14</v>
      </c>
      <c r="C251" s="2091" t="s">
        <v>3085</v>
      </c>
      <c r="D251" s="2091" t="s">
        <v>3086</v>
      </c>
      <c r="E251" s="2091" t="s">
        <v>3087</v>
      </c>
      <c r="F251" s="2091" t="s">
        <v>2334</v>
      </c>
      <c r="G251" s="2091" t="s">
        <v>24</v>
      </c>
      <c r="H251" s="2091" t="s">
        <v>24</v>
      </c>
      <c r="I251" s="2091" t="s">
        <v>706</v>
      </c>
    </row>
    <row r="252" spans="1:9" ht="11.25" customHeight="1">
      <c r="A252" s="2091" t="s">
        <v>2181</v>
      </c>
      <c r="B252" s="2091" t="s">
        <v>14</v>
      </c>
      <c r="C252" s="2091" t="s">
        <v>3088</v>
      </c>
      <c r="D252" s="2091" t="s">
        <v>3089</v>
      </c>
      <c r="E252" s="2091" t="s">
        <v>3090</v>
      </c>
      <c r="F252" s="2091" t="s">
        <v>2852</v>
      </c>
      <c r="G252" s="2091" t="s">
        <v>24</v>
      </c>
      <c r="H252" s="2091" t="s">
        <v>24</v>
      </c>
      <c r="I252" s="2091" t="s">
        <v>706</v>
      </c>
    </row>
    <row r="253" spans="1:9" ht="11.25" customHeight="1">
      <c r="A253" s="2091" t="s">
        <v>2181</v>
      </c>
      <c r="B253" s="2091" t="s">
        <v>14</v>
      </c>
      <c r="C253" s="2091" t="s">
        <v>3091</v>
      </c>
      <c r="D253" s="2091" t="s">
        <v>3092</v>
      </c>
      <c r="E253" s="2091" t="s">
        <v>3093</v>
      </c>
      <c r="F253" s="2091" t="s">
        <v>2683</v>
      </c>
      <c r="G253" s="2091" t="s">
        <v>24</v>
      </c>
      <c r="H253" s="2091" t="s">
        <v>24</v>
      </c>
      <c r="I253" s="2091" t="s">
        <v>706</v>
      </c>
    </row>
    <row r="254" spans="1:9" ht="11.25" customHeight="1">
      <c r="A254" s="2091" t="s">
        <v>2181</v>
      </c>
      <c r="B254" s="2091" t="s">
        <v>14</v>
      </c>
      <c r="C254" s="2091" t="s">
        <v>3094</v>
      </c>
      <c r="D254" s="2091" t="s">
        <v>3095</v>
      </c>
      <c r="E254" s="2091" t="s">
        <v>3096</v>
      </c>
      <c r="F254" s="2091" t="s">
        <v>2833</v>
      </c>
      <c r="G254" s="2091" t="s">
        <v>24</v>
      </c>
      <c r="H254" s="2091" t="s">
        <v>24</v>
      </c>
      <c r="I254" s="2091" t="s">
        <v>706</v>
      </c>
    </row>
    <row r="255" spans="1:9" ht="11.25" customHeight="1">
      <c r="A255" s="2091" t="s">
        <v>2181</v>
      </c>
      <c r="B255" s="2091" t="s">
        <v>14</v>
      </c>
      <c r="C255" s="2091" t="s">
        <v>3097</v>
      </c>
      <c r="D255" s="2091" t="s">
        <v>3098</v>
      </c>
      <c r="E255" s="2091" t="s">
        <v>3099</v>
      </c>
      <c r="F255" s="2091" t="s">
        <v>2429</v>
      </c>
      <c r="G255" s="2091" t="s">
        <v>24</v>
      </c>
      <c r="H255" s="2091" t="s">
        <v>24</v>
      </c>
      <c r="I255" s="2091" t="s">
        <v>706</v>
      </c>
    </row>
    <row r="256" spans="1:9" ht="11.25" customHeight="1">
      <c r="A256" s="2091" t="s">
        <v>2181</v>
      </c>
      <c r="B256" s="2091" t="s">
        <v>14</v>
      </c>
      <c r="C256" s="2091" t="s">
        <v>3100</v>
      </c>
      <c r="D256" s="2091" t="s">
        <v>3101</v>
      </c>
      <c r="E256" s="2091" t="s">
        <v>3102</v>
      </c>
      <c r="F256" s="2091" t="s">
        <v>2226</v>
      </c>
      <c r="G256" s="2091" t="s">
        <v>24</v>
      </c>
      <c r="H256" s="2091" t="s">
        <v>24</v>
      </c>
      <c r="I256" s="2091" t="s">
        <v>706</v>
      </c>
    </row>
    <row r="257" spans="1:9" ht="11.25" customHeight="1">
      <c r="A257" s="2091" t="s">
        <v>2181</v>
      </c>
      <c r="B257" s="2091" t="s">
        <v>14</v>
      </c>
      <c r="C257" s="2091" t="s">
        <v>3103</v>
      </c>
      <c r="D257" s="2091" t="s">
        <v>3104</v>
      </c>
      <c r="E257" s="2091" t="s">
        <v>3105</v>
      </c>
      <c r="F257" s="2091" t="s">
        <v>2361</v>
      </c>
      <c r="G257" s="2091" t="s">
        <v>3106</v>
      </c>
      <c r="H257" s="2091" t="s">
        <v>24</v>
      </c>
      <c r="I257" s="2091" t="s">
        <v>706</v>
      </c>
    </row>
    <row r="258" spans="1:9" ht="11.25" customHeight="1">
      <c r="A258" s="2091" t="s">
        <v>2181</v>
      </c>
      <c r="B258" s="2091" t="s">
        <v>14</v>
      </c>
      <c r="C258" s="2091" t="s">
        <v>3107</v>
      </c>
      <c r="D258" s="2091" t="s">
        <v>3108</v>
      </c>
      <c r="E258" s="2091" t="s">
        <v>3109</v>
      </c>
      <c r="F258" s="2091" t="s">
        <v>2329</v>
      </c>
      <c r="G258" s="2091" t="s">
        <v>24</v>
      </c>
      <c r="H258" s="2091" t="s">
        <v>24</v>
      </c>
      <c r="I258" s="2091" t="s">
        <v>706</v>
      </c>
    </row>
    <row r="259" spans="1:9" ht="11.25" customHeight="1">
      <c r="A259" s="2091" t="s">
        <v>2181</v>
      </c>
      <c r="B259" s="2091" t="s">
        <v>14</v>
      </c>
      <c r="C259" s="2091" t="s">
        <v>3110</v>
      </c>
      <c r="D259" s="2091" t="s">
        <v>3111</v>
      </c>
      <c r="E259" s="2091" t="s">
        <v>3112</v>
      </c>
      <c r="F259" s="2091" t="s">
        <v>2189</v>
      </c>
      <c r="G259" s="2091" t="s">
        <v>24</v>
      </c>
      <c r="H259" s="2091" t="s">
        <v>24</v>
      </c>
      <c r="I259" s="2091" t="s">
        <v>706</v>
      </c>
    </row>
    <row r="260" spans="1:9" ht="11.25" customHeight="1">
      <c r="A260" s="2091" t="s">
        <v>2181</v>
      </c>
      <c r="B260" s="2091" t="s">
        <v>14</v>
      </c>
      <c r="C260" s="2091" t="s">
        <v>3113</v>
      </c>
      <c r="D260" s="2091" t="s">
        <v>3114</v>
      </c>
      <c r="E260" s="2091" t="s">
        <v>3115</v>
      </c>
      <c r="F260" s="2091" t="s">
        <v>2343</v>
      </c>
      <c r="G260" s="2091" t="s">
        <v>24</v>
      </c>
      <c r="H260" s="2091" t="s">
        <v>3116</v>
      </c>
      <c r="I260" s="2091" t="s">
        <v>706</v>
      </c>
    </row>
    <row r="261" spans="1:9" ht="11.25" customHeight="1">
      <c r="A261" s="2091" t="s">
        <v>2181</v>
      </c>
      <c r="B261" s="2091" t="s">
        <v>14</v>
      </c>
      <c r="C261" s="2091" t="s">
        <v>3117</v>
      </c>
      <c r="D261" s="2091" t="s">
        <v>3118</v>
      </c>
      <c r="E261" s="2091" t="s">
        <v>3119</v>
      </c>
      <c r="F261" s="2091" t="s">
        <v>2365</v>
      </c>
      <c r="G261" s="2091" t="s">
        <v>3120</v>
      </c>
      <c r="H261" s="2091" t="s">
        <v>24</v>
      </c>
      <c r="I261" s="2091" t="s">
        <v>706</v>
      </c>
    </row>
    <row r="262" spans="1:9" ht="11.25" customHeight="1">
      <c r="A262" s="2091" t="s">
        <v>2181</v>
      </c>
      <c r="B262" s="2091" t="s">
        <v>14</v>
      </c>
      <c r="C262" s="2091" t="s">
        <v>3121</v>
      </c>
      <c r="D262" s="2091" t="s">
        <v>3122</v>
      </c>
      <c r="E262" s="2091" t="s">
        <v>3123</v>
      </c>
      <c r="F262" s="2091" t="s">
        <v>2383</v>
      </c>
      <c r="G262" s="2091" t="s">
        <v>3124</v>
      </c>
      <c r="H262" s="2091" t="s">
        <v>24</v>
      </c>
      <c r="I262" s="2091" t="s">
        <v>706</v>
      </c>
    </row>
    <row r="263" spans="1:9" ht="11.25" customHeight="1">
      <c r="A263" s="2091" t="s">
        <v>2181</v>
      </c>
      <c r="B263" s="2091" t="s">
        <v>14</v>
      </c>
      <c r="C263" s="2091" t="s">
        <v>3125</v>
      </c>
      <c r="D263" s="2091" t="s">
        <v>3126</v>
      </c>
      <c r="E263" s="2091" t="s">
        <v>3127</v>
      </c>
      <c r="F263" s="2091" t="s">
        <v>2334</v>
      </c>
      <c r="G263" s="2091" t="s">
        <v>24</v>
      </c>
      <c r="H263" s="2091" t="s">
        <v>24</v>
      </c>
      <c r="I263" s="2091" t="s">
        <v>706</v>
      </c>
    </row>
    <row r="264" spans="1:9" ht="11.25" customHeight="1">
      <c r="A264" s="2091" t="s">
        <v>2181</v>
      </c>
      <c r="B264" s="2091" t="s">
        <v>14</v>
      </c>
      <c r="C264" s="2091" t="s">
        <v>3128</v>
      </c>
      <c r="D264" s="2091" t="s">
        <v>3129</v>
      </c>
      <c r="E264" s="2091" t="s">
        <v>3130</v>
      </c>
      <c r="F264" s="2091" t="s">
        <v>2317</v>
      </c>
      <c r="G264" s="2091" t="s">
        <v>24</v>
      </c>
      <c r="H264" s="2091" t="s">
        <v>24</v>
      </c>
      <c r="I264" s="2091" t="s">
        <v>706</v>
      </c>
    </row>
    <row r="265" spans="1:9" ht="11.25" customHeight="1">
      <c r="A265" s="2091" t="s">
        <v>2181</v>
      </c>
      <c r="B265" s="2091" t="s">
        <v>14</v>
      </c>
      <c r="C265" s="2091" t="s">
        <v>3131</v>
      </c>
      <c r="D265" s="2091" t="s">
        <v>3132</v>
      </c>
      <c r="E265" s="2091" t="s">
        <v>3133</v>
      </c>
      <c r="F265" s="2091" t="s">
        <v>2372</v>
      </c>
      <c r="G265" s="2091" t="s">
        <v>24</v>
      </c>
      <c r="H265" s="2091" t="s">
        <v>24</v>
      </c>
      <c r="I265" s="2091" t="s">
        <v>706</v>
      </c>
    </row>
    <row r="266" spans="1:9" ht="11.25" customHeight="1">
      <c r="A266" s="2091" t="s">
        <v>2181</v>
      </c>
      <c r="B266" s="2091" t="s">
        <v>14</v>
      </c>
      <c r="C266" s="2091" t="s">
        <v>3134</v>
      </c>
      <c r="D266" s="2091" t="s">
        <v>3135</v>
      </c>
      <c r="E266" s="2091" t="s">
        <v>3136</v>
      </c>
      <c r="F266" s="2091" t="s">
        <v>2293</v>
      </c>
      <c r="G266" s="2091" t="s">
        <v>24</v>
      </c>
      <c r="H266" s="2091" t="s">
        <v>24</v>
      </c>
      <c r="I266" s="2091" t="s">
        <v>706</v>
      </c>
    </row>
    <row r="267" spans="1:9" ht="11.25" customHeight="1">
      <c r="A267" s="2091" t="s">
        <v>2181</v>
      </c>
      <c r="B267" s="2091" t="s">
        <v>14</v>
      </c>
      <c r="C267" s="2091" t="s">
        <v>3137</v>
      </c>
      <c r="D267" s="2091" t="s">
        <v>3138</v>
      </c>
      <c r="E267" s="2091" t="s">
        <v>3139</v>
      </c>
      <c r="F267" s="2091" t="s">
        <v>2185</v>
      </c>
      <c r="G267" s="2091" t="s">
        <v>24</v>
      </c>
      <c r="H267" s="2091" t="s">
        <v>24</v>
      </c>
      <c r="I267" s="2091" t="s">
        <v>706</v>
      </c>
    </row>
    <row r="268" spans="1:9" ht="11.25" customHeight="1">
      <c r="A268" s="2091" t="s">
        <v>2181</v>
      </c>
      <c r="B268" s="2091" t="s">
        <v>14</v>
      </c>
      <c r="C268" s="2091" t="s">
        <v>3140</v>
      </c>
      <c r="D268" s="2091" t="s">
        <v>3141</v>
      </c>
      <c r="E268" s="2091" t="s">
        <v>3142</v>
      </c>
      <c r="F268" s="2091" t="s">
        <v>2334</v>
      </c>
      <c r="G268" s="2091" t="s">
        <v>24</v>
      </c>
      <c r="H268" s="2091" t="s">
        <v>24</v>
      </c>
      <c r="I268" s="2091" t="s">
        <v>706</v>
      </c>
    </row>
    <row r="269" spans="1:9" ht="11.25" customHeight="1">
      <c r="A269" s="2091" t="s">
        <v>2181</v>
      </c>
      <c r="B269" s="2091" t="s">
        <v>14</v>
      </c>
      <c r="C269" s="2091" t="s">
        <v>3143</v>
      </c>
      <c r="D269" s="2091" t="s">
        <v>3144</v>
      </c>
      <c r="E269" s="2091" t="s">
        <v>3145</v>
      </c>
      <c r="F269" s="2091" t="s">
        <v>2226</v>
      </c>
      <c r="G269" s="2091" t="s">
        <v>24</v>
      </c>
      <c r="H269" s="2091" t="s">
        <v>24</v>
      </c>
      <c r="I269" s="2091" t="s">
        <v>706</v>
      </c>
    </row>
    <row r="270" spans="1:9" ht="11.25" customHeight="1">
      <c r="A270" s="2091" t="s">
        <v>2181</v>
      </c>
      <c r="B270" s="2091" t="s">
        <v>14</v>
      </c>
      <c r="C270" s="2091" t="s">
        <v>3146</v>
      </c>
      <c r="D270" s="2091" t="s">
        <v>3147</v>
      </c>
      <c r="E270" s="2091" t="s">
        <v>3148</v>
      </c>
      <c r="F270" s="2091" t="s">
        <v>2222</v>
      </c>
      <c r="G270" s="2091" t="s">
        <v>3149</v>
      </c>
      <c r="H270" s="2091" t="s">
        <v>24</v>
      </c>
      <c r="I270" s="2091" t="s">
        <v>706</v>
      </c>
    </row>
    <row r="271" spans="1:9" ht="11.25" customHeight="1">
      <c r="A271" s="2091" t="s">
        <v>2181</v>
      </c>
      <c r="B271" s="2091" t="s">
        <v>14</v>
      </c>
      <c r="C271" s="2091" t="s">
        <v>3150</v>
      </c>
      <c r="D271" s="2091" t="s">
        <v>3151</v>
      </c>
      <c r="E271" s="2091" t="s">
        <v>3152</v>
      </c>
      <c r="F271" s="2091" t="s">
        <v>2376</v>
      </c>
      <c r="G271" s="2091" t="s">
        <v>24</v>
      </c>
      <c r="H271" s="2091" t="s">
        <v>24</v>
      </c>
      <c r="I271" s="2091" t="s">
        <v>706</v>
      </c>
    </row>
    <row r="272" spans="1:9" ht="11.25" customHeight="1">
      <c r="A272" s="2091" t="s">
        <v>2181</v>
      </c>
      <c r="B272" s="2091" t="s">
        <v>14</v>
      </c>
      <c r="C272" s="2091" t="s">
        <v>3153</v>
      </c>
      <c r="D272" s="2091" t="s">
        <v>3154</v>
      </c>
      <c r="E272" s="2091" t="s">
        <v>3155</v>
      </c>
      <c r="F272" s="2091" t="s">
        <v>2631</v>
      </c>
      <c r="G272" s="2091" t="s">
        <v>3156</v>
      </c>
      <c r="H272" s="2091" t="s">
        <v>24</v>
      </c>
      <c r="I272" s="2091" t="s">
        <v>706</v>
      </c>
    </row>
    <row r="273" spans="1:9" ht="11.25" customHeight="1">
      <c r="A273" s="2091" t="s">
        <v>2181</v>
      </c>
      <c r="B273" s="2091" t="s">
        <v>14</v>
      </c>
      <c r="C273" s="2091" t="s">
        <v>3157</v>
      </c>
      <c r="D273" s="2091" t="s">
        <v>3154</v>
      </c>
      <c r="E273" s="2091" t="s">
        <v>3158</v>
      </c>
      <c r="F273" s="2091" t="s">
        <v>2578</v>
      </c>
      <c r="G273" s="2091" t="s">
        <v>24</v>
      </c>
      <c r="H273" s="2091" t="s">
        <v>24</v>
      </c>
      <c r="I273" s="2091" t="s">
        <v>706</v>
      </c>
    </row>
    <row r="274" spans="1:9" ht="11.25" customHeight="1">
      <c r="A274" s="2091" t="s">
        <v>2181</v>
      </c>
      <c r="B274" s="2091" t="s">
        <v>14</v>
      </c>
      <c r="C274" s="2091" t="s">
        <v>3159</v>
      </c>
      <c r="D274" s="2091" t="s">
        <v>3154</v>
      </c>
      <c r="E274" s="2091" t="s">
        <v>3160</v>
      </c>
      <c r="F274" s="2091" t="s">
        <v>2343</v>
      </c>
      <c r="G274" s="2091" t="s">
        <v>24</v>
      </c>
      <c r="H274" s="2091" t="s">
        <v>24</v>
      </c>
      <c r="I274" s="2091" t="s">
        <v>706</v>
      </c>
    </row>
    <row r="275" spans="1:9" ht="11.25" customHeight="1">
      <c r="A275" s="2091" t="s">
        <v>2181</v>
      </c>
      <c r="B275" s="2091" t="s">
        <v>14</v>
      </c>
      <c r="C275" s="2091" t="s">
        <v>3161</v>
      </c>
      <c r="D275" s="2091" t="s">
        <v>3162</v>
      </c>
      <c r="E275" s="2091" t="s">
        <v>3163</v>
      </c>
      <c r="F275" s="2091" t="s">
        <v>3164</v>
      </c>
      <c r="G275" s="2091" t="s">
        <v>3165</v>
      </c>
      <c r="H275" s="2091" t="s">
        <v>24</v>
      </c>
      <c r="I275" s="2091" t="s">
        <v>706</v>
      </c>
    </row>
    <row r="276" spans="1:9" ht="11.25" customHeight="1">
      <c r="A276" s="2091" t="s">
        <v>2181</v>
      </c>
      <c r="B276" s="2091" t="s">
        <v>14</v>
      </c>
      <c r="C276" s="2091" t="s">
        <v>3166</v>
      </c>
      <c r="D276" s="2091" t="s">
        <v>3167</v>
      </c>
      <c r="E276" s="2091" t="s">
        <v>3168</v>
      </c>
      <c r="F276" s="2091" t="s">
        <v>2334</v>
      </c>
      <c r="G276" s="2091" t="s">
        <v>24</v>
      </c>
      <c r="H276" s="2091" t="s">
        <v>24</v>
      </c>
      <c r="I276" s="2091" t="s">
        <v>706</v>
      </c>
    </row>
    <row r="277" spans="1:9" ht="11.25" customHeight="1">
      <c r="A277" s="2091" t="s">
        <v>2181</v>
      </c>
      <c r="B277" s="2091" t="s">
        <v>14</v>
      </c>
      <c r="C277" s="2091" t="s">
        <v>3169</v>
      </c>
      <c r="D277" s="2091" t="s">
        <v>3170</v>
      </c>
      <c r="E277" s="2091" t="s">
        <v>3171</v>
      </c>
      <c r="F277" s="2091" t="s">
        <v>2383</v>
      </c>
      <c r="G277" s="2091" t="s">
        <v>24</v>
      </c>
      <c r="H277" s="2091" t="s">
        <v>24</v>
      </c>
      <c r="I277" s="2091" t="s">
        <v>706</v>
      </c>
    </row>
    <row r="278" spans="1:9" ht="11.25" customHeight="1">
      <c r="A278" s="2091" t="s">
        <v>2181</v>
      </c>
      <c r="B278" s="2091" t="s">
        <v>14</v>
      </c>
      <c r="C278" s="2091" t="s">
        <v>3172</v>
      </c>
      <c r="D278" s="2091" t="s">
        <v>3173</v>
      </c>
      <c r="E278" s="2091" t="s">
        <v>3174</v>
      </c>
      <c r="F278" s="2091" t="s">
        <v>2293</v>
      </c>
      <c r="G278" s="2091" t="s">
        <v>24</v>
      </c>
      <c r="H278" s="2091" t="s">
        <v>24</v>
      </c>
      <c r="I278" s="2091" t="s">
        <v>706</v>
      </c>
    </row>
    <row r="279" spans="1:9" ht="11.25" customHeight="1">
      <c r="A279" s="2091" t="s">
        <v>2181</v>
      </c>
      <c r="B279" s="2091" t="s">
        <v>14</v>
      </c>
      <c r="C279" s="2091" t="s">
        <v>3175</v>
      </c>
      <c r="D279" s="2091" t="s">
        <v>3176</v>
      </c>
      <c r="E279" s="2091" t="s">
        <v>3177</v>
      </c>
      <c r="F279" s="2091" t="s">
        <v>2343</v>
      </c>
      <c r="G279" s="2091" t="s">
        <v>24</v>
      </c>
      <c r="H279" s="2091" t="s">
        <v>24</v>
      </c>
      <c r="I279" s="2091" t="s">
        <v>706</v>
      </c>
    </row>
    <row r="280" spans="1:9" ht="11.25" customHeight="1">
      <c r="A280" s="2091" t="s">
        <v>2181</v>
      </c>
      <c r="B280" s="2091" t="s">
        <v>14</v>
      </c>
      <c r="C280" s="2091" t="s">
        <v>3178</v>
      </c>
      <c r="D280" s="2091" t="s">
        <v>3179</v>
      </c>
      <c r="E280" s="2091" t="s">
        <v>3180</v>
      </c>
      <c r="F280" s="2091" t="s">
        <v>2226</v>
      </c>
      <c r="G280" s="2091" t="s">
        <v>24</v>
      </c>
      <c r="H280" s="2091" t="s">
        <v>24</v>
      </c>
      <c r="I280" s="2091" t="s">
        <v>706</v>
      </c>
    </row>
    <row r="281" spans="1:9" ht="11.25" customHeight="1">
      <c r="A281" s="2091" t="s">
        <v>2181</v>
      </c>
      <c r="B281" s="2091" t="s">
        <v>14</v>
      </c>
      <c r="C281" s="2091" t="s">
        <v>3181</v>
      </c>
      <c r="D281" s="2091" t="s">
        <v>3182</v>
      </c>
      <c r="E281" s="2091" t="s">
        <v>3183</v>
      </c>
      <c r="F281" s="2091" t="s">
        <v>2293</v>
      </c>
      <c r="G281" s="2091" t="s">
        <v>24</v>
      </c>
      <c r="H281" s="2091" t="s">
        <v>24</v>
      </c>
      <c r="I281" s="2091" t="s">
        <v>706</v>
      </c>
    </row>
    <row r="282" spans="1:9" ht="11.25" customHeight="1">
      <c r="A282" s="2091" t="s">
        <v>2181</v>
      </c>
      <c r="B282" s="2091" t="s">
        <v>14</v>
      </c>
      <c r="C282" s="2091" t="s">
        <v>3184</v>
      </c>
      <c r="D282" s="2091" t="s">
        <v>3185</v>
      </c>
      <c r="E282" s="2091" t="s">
        <v>3186</v>
      </c>
      <c r="F282" s="2091" t="s">
        <v>2226</v>
      </c>
      <c r="G282" s="2091" t="s">
        <v>24</v>
      </c>
      <c r="H282" s="2091" t="s">
        <v>24</v>
      </c>
      <c r="I282" s="2091" t="s">
        <v>706</v>
      </c>
    </row>
    <row r="283" spans="1:9" ht="11.25" customHeight="1">
      <c r="A283" s="2091" t="s">
        <v>2181</v>
      </c>
      <c r="B283" s="2091" t="s">
        <v>14</v>
      </c>
      <c r="C283" s="2091" t="s">
        <v>3187</v>
      </c>
      <c r="D283" s="2091" t="s">
        <v>3188</v>
      </c>
      <c r="E283" s="2091" t="s">
        <v>3189</v>
      </c>
      <c r="F283" s="2091" t="s">
        <v>2372</v>
      </c>
      <c r="G283" s="2091" t="s">
        <v>24</v>
      </c>
      <c r="H283" s="2091" t="s">
        <v>24</v>
      </c>
      <c r="I283" s="2091" t="s">
        <v>706</v>
      </c>
    </row>
    <row r="284" spans="1:9" ht="11.25" customHeight="1">
      <c r="A284" s="2091" t="s">
        <v>2181</v>
      </c>
      <c r="B284" s="2091" t="s">
        <v>14</v>
      </c>
      <c r="C284" s="2091" t="s">
        <v>3190</v>
      </c>
      <c r="D284" s="2091" t="s">
        <v>3191</v>
      </c>
      <c r="E284" s="2091" t="s">
        <v>3192</v>
      </c>
      <c r="F284" s="2091" t="s">
        <v>2492</v>
      </c>
      <c r="G284" s="2091" t="s">
        <v>24</v>
      </c>
      <c r="H284" s="2091" t="s">
        <v>24</v>
      </c>
      <c r="I284" s="2091" t="s">
        <v>706</v>
      </c>
    </row>
    <row r="285" spans="1:9" ht="11.25" customHeight="1">
      <c r="A285" s="2091" t="s">
        <v>2181</v>
      </c>
      <c r="B285" s="2091" t="s">
        <v>14</v>
      </c>
      <c r="C285" s="2091" t="s">
        <v>3193</v>
      </c>
      <c r="D285" s="2091" t="s">
        <v>3194</v>
      </c>
      <c r="E285" s="2091" t="s">
        <v>3195</v>
      </c>
      <c r="F285" s="2091" t="s">
        <v>2293</v>
      </c>
      <c r="G285" s="2091" t="s">
        <v>24</v>
      </c>
      <c r="H285" s="2091" t="s">
        <v>24</v>
      </c>
      <c r="I285" s="2091" t="s">
        <v>706</v>
      </c>
    </row>
    <row r="286" spans="1:9" ht="11.25" customHeight="1">
      <c r="A286" s="2091" t="s">
        <v>2181</v>
      </c>
      <c r="B286" s="2091" t="s">
        <v>14</v>
      </c>
      <c r="C286" s="2091" t="s">
        <v>3196</v>
      </c>
      <c r="D286" s="2091" t="s">
        <v>3197</v>
      </c>
      <c r="E286" s="2091" t="s">
        <v>3198</v>
      </c>
      <c r="F286" s="2091" t="s">
        <v>2343</v>
      </c>
      <c r="G286" s="2091" t="s">
        <v>24</v>
      </c>
      <c r="H286" s="2091" t="s">
        <v>24</v>
      </c>
      <c r="I286" s="2091" t="s">
        <v>706</v>
      </c>
    </row>
    <row r="287" spans="1:9" ht="11.25" customHeight="1">
      <c r="A287" s="2091" t="s">
        <v>2181</v>
      </c>
      <c r="B287" s="2091" t="s">
        <v>14</v>
      </c>
      <c r="C287" s="2091" t="s">
        <v>3199</v>
      </c>
      <c r="D287" s="2091" t="s">
        <v>3200</v>
      </c>
      <c r="E287" s="2091" t="s">
        <v>3201</v>
      </c>
      <c r="F287" s="2091" t="s">
        <v>2334</v>
      </c>
      <c r="G287" s="2091" t="s">
        <v>24</v>
      </c>
      <c r="H287" s="2091" t="s">
        <v>24</v>
      </c>
      <c r="I287" s="2091" t="s">
        <v>706</v>
      </c>
    </row>
    <row r="288" spans="1:9" ht="11.25" customHeight="1">
      <c r="A288" s="2091" t="s">
        <v>2181</v>
      </c>
      <c r="B288" s="2091" t="s">
        <v>14</v>
      </c>
      <c r="C288" s="2091" t="s">
        <v>3202</v>
      </c>
      <c r="D288" s="2091" t="s">
        <v>3203</v>
      </c>
      <c r="E288" s="2091" t="s">
        <v>3204</v>
      </c>
      <c r="F288" s="2091" t="s">
        <v>2605</v>
      </c>
      <c r="G288" s="2091" t="s">
        <v>24</v>
      </c>
      <c r="H288" s="2091" t="s">
        <v>24</v>
      </c>
      <c r="I288" s="2091" t="s">
        <v>706</v>
      </c>
    </row>
    <row r="289" spans="1:9" ht="11.25" customHeight="1">
      <c r="A289" s="2091" t="s">
        <v>2181</v>
      </c>
      <c r="B289" s="2091" t="s">
        <v>14</v>
      </c>
      <c r="C289" s="2091" t="s">
        <v>3205</v>
      </c>
      <c r="D289" s="2091" t="s">
        <v>3206</v>
      </c>
      <c r="E289" s="2091" t="s">
        <v>3207</v>
      </c>
      <c r="F289" s="2091" t="s">
        <v>2222</v>
      </c>
      <c r="G289" s="2091" t="s">
        <v>24</v>
      </c>
      <c r="H289" s="2091" t="s">
        <v>24</v>
      </c>
      <c r="I289" s="2091" t="s">
        <v>706</v>
      </c>
    </row>
    <row r="290" spans="1:9" ht="11.25" customHeight="1">
      <c r="A290" s="2091" t="s">
        <v>2181</v>
      </c>
      <c r="B290" s="2091" t="s">
        <v>14</v>
      </c>
      <c r="C290" s="2091" t="s">
        <v>3208</v>
      </c>
      <c r="D290" s="2091" t="s">
        <v>3209</v>
      </c>
      <c r="E290" s="2091" t="s">
        <v>3210</v>
      </c>
      <c r="F290" s="2091" t="s">
        <v>2343</v>
      </c>
      <c r="G290" s="2091" t="s">
        <v>24</v>
      </c>
      <c r="H290" s="2091" t="s">
        <v>24</v>
      </c>
      <c r="I290" s="2091" t="s">
        <v>706</v>
      </c>
    </row>
    <row r="291" spans="1:9" ht="11.25" customHeight="1">
      <c r="A291" s="2091" t="s">
        <v>2181</v>
      </c>
      <c r="B291" s="2091" t="s">
        <v>14</v>
      </c>
      <c r="C291" s="2091" t="s">
        <v>3211</v>
      </c>
      <c r="D291" s="2091" t="s">
        <v>3212</v>
      </c>
      <c r="E291" s="2091" t="s">
        <v>3213</v>
      </c>
      <c r="F291" s="2091" t="s">
        <v>2334</v>
      </c>
      <c r="G291" s="2091" t="s">
        <v>24</v>
      </c>
      <c r="H291" s="2091" t="s">
        <v>24</v>
      </c>
      <c r="I291" s="2091" t="s">
        <v>706</v>
      </c>
    </row>
    <row r="292" spans="1:9" ht="11.25" customHeight="1">
      <c r="A292" s="2091" t="s">
        <v>2181</v>
      </c>
      <c r="B292" s="2091" t="s">
        <v>14</v>
      </c>
      <c r="C292" s="2091" t="s">
        <v>3214</v>
      </c>
      <c r="D292" s="2091" t="s">
        <v>3215</v>
      </c>
      <c r="E292" s="2091" t="s">
        <v>3216</v>
      </c>
      <c r="F292" s="2091" t="s">
        <v>2535</v>
      </c>
      <c r="G292" s="2091" t="s">
        <v>24</v>
      </c>
      <c r="H292" s="2091" t="s">
        <v>24</v>
      </c>
      <c r="I292" s="2091" t="s">
        <v>706</v>
      </c>
    </row>
    <row r="293" spans="1:9" ht="11.25" customHeight="1">
      <c r="A293" s="2091" t="s">
        <v>2181</v>
      </c>
      <c r="B293" s="2091" t="s">
        <v>14</v>
      </c>
      <c r="C293" s="2091" t="s">
        <v>3217</v>
      </c>
      <c r="D293" s="2091" t="s">
        <v>3218</v>
      </c>
      <c r="E293" s="2091" t="s">
        <v>3219</v>
      </c>
      <c r="F293" s="2091" t="s">
        <v>2226</v>
      </c>
      <c r="G293" s="2091" t="s">
        <v>24</v>
      </c>
      <c r="H293" s="2091" t="s">
        <v>24</v>
      </c>
      <c r="I293" s="2091" t="s">
        <v>706</v>
      </c>
    </row>
    <row r="294" spans="1:9" ht="11.25" customHeight="1">
      <c r="A294" s="2091" t="s">
        <v>2181</v>
      </c>
      <c r="B294" s="2091" t="s">
        <v>14</v>
      </c>
      <c r="C294" s="2091" t="s">
        <v>3220</v>
      </c>
      <c r="D294" s="2091" t="s">
        <v>3221</v>
      </c>
      <c r="E294" s="2091" t="s">
        <v>3222</v>
      </c>
      <c r="F294" s="2091" t="s">
        <v>2365</v>
      </c>
      <c r="G294" s="2091" t="s">
        <v>24</v>
      </c>
      <c r="H294" s="2091" t="s">
        <v>24</v>
      </c>
      <c r="I294" s="2091" t="s">
        <v>706</v>
      </c>
    </row>
    <row r="295" spans="1:9" ht="11.25" customHeight="1">
      <c r="A295" s="2091" t="s">
        <v>2181</v>
      </c>
      <c r="B295" s="2091" t="s">
        <v>14</v>
      </c>
      <c r="C295" s="2091" t="s">
        <v>3223</v>
      </c>
      <c r="D295" s="2091" t="s">
        <v>3224</v>
      </c>
      <c r="E295" s="2091" t="s">
        <v>3225</v>
      </c>
      <c r="F295" s="2091" t="s">
        <v>2334</v>
      </c>
      <c r="G295" s="2091" t="s">
        <v>24</v>
      </c>
      <c r="H295" s="2091" t="s">
        <v>24</v>
      </c>
      <c r="I295" s="2091" t="s">
        <v>706</v>
      </c>
    </row>
    <row r="296" spans="1:9" ht="11.25" customHeight="1">
      <c r="A296" s="2091" t="s">
        <v>2181</v>
      </c>
      <c r="B296" s="2091" t="s">
        <v>14</v>
      </c>
      <c r="C296" s="2091" t="s">
        <v>3226</v>
      </c>
      <c r="D296" s="2091" t="s">
        <v>3227</v>
      </c>
      <c r="E296" s="2091" t="s">
        <v>3228</v>
      </c>
      <c r="F296" s="2091" t="s">
        <v>2451</v>
      </c>
      <c r="G296" s="2091" t="s">
        <v>24</v>
      </c>
      <c r="H296" s="2091" t="s">
        <v>24</v>
      </c>
      <c r="I296" s="2091" t="s">
        <v>706</v>
      </c>
    </row>
    <row r="297" spans="1:9" ht="11.25" customHeight="1">
      <c r="A297" s="2091" t="s">
        <v>2181</v>
      </c>
      <c r="B297" s="2091" t="s">
        <v>14</v>
      </c>
      <c r="C297" s="2091" t="s">
        <v>3229</v>
      </c>
      <c r="D297" s="2091" t="s">
        <v>3230</v>
      </c>
      <c r="E297" s="2091" t="s">
        <v>3231</v>
      </c>
      <c r="F297" s="2091" t="s">
        <v>2365</v>
      </c>
      <c r="G297" s="2091" t="s">
        <v>3232</v>
      </c>
      <c r="H297" s="2091" t="s">
        <v>24</v>
      </c>
      <c r="I297" s="2091" t="s">
        <v>706</v>
      </c>
    </row>
    <row r="298" spans="1:9" ht="11.25" customHeight="1">
      <c r="A298" s="2091" t="s">
        <v>2181</v>
      </c>
      <c r="B298" s="2091" t="s">
        <v>14</v>
      </c>
      <c r="C298" s="2091" t="s">
        <v>3233</v>
      </c>
      <c r="D298" s="2091" t="s">
        <v>3234</v>
      </c>
      <c r="E298" s="2091" t="s">
        <v>3235</v>
      </c>
      <c r="F298" s="2091" t="s">
        <v>2273</v>
      </c>
      <c r="G298" s="2091" t="s">
        <v>3236</v>
      </c>
      <c r="H298" s="2091" t="s">
        <v>24</v>
      </c>
      <c r="I298" s="2091" t="s">
        <v>706</v>
      </c>
    </row>
    <row r="299" spans="1:9" ht="11.25" customHeight="1">
      <c r="A299" s="2091" t="s">
        <v>2181</v>
      </c>
      <c r="B299" s="2091" t="s">
        <v>14</v>
      </c>
      <c r="C299" s="2091" t="s">
        <v>3237</v>
      </c>
      <c r="D299" s="2091" t="s">
        <v>3238</v>
      </c>
      <c r="E299" s="2091" t="s">
        <v>3239</v>
      </c>
      <c r="F299" s="2091" t="s">
        <v>2194</v>
      </c>
      <c r="G299" s="2091" t="s">
        <v>24</v>
      </c>
      <c r="H299" s="2091" t="s">
        <v>24</v>
      </c>
      <c r="I299" s="2091" t="s">
        <v>706</v>
      </c>
    </row>
    <row r="300" spans="1:9" ht="11.25" customHeight="1">
      <c r="A300" s="2091" t="s">
        <v>2181</v>
      </c>
      <c r="B300" s="2091" t="s">
        <v>14</v>
      </c>
      <c r="C300" s="2091" t="s">
        <v>3240</v>
      </c>
      <c r="D300" s="2091" t="s">
        <v>3241</v>
      </c>
      <c r="E300" s="2091" t="s">
        <v>3242</v>
      </c>
      <c r="F300" s="2091" t="s">
        <v>2343</v>
      </c>
      <c r="G300" s="2091" t="s">
        <v>24</v>
      </c>
      <c r="H300" s="2091" t="s">
        <v>24</v>
      </c>
      <c r="I300" s="2091" t="s">
        <v>706</v>
      </c>
    </row>
    <row r="301" spans="1:9" ht="11.25" customHeight="1">
      <c r="A301" s="2091" t="s">
        <v>2181</v>
      </c>
      <c r="B301" s="2091" t="s">
        <v>14</v>
      </c>
      <c r="C301" s="2091" t="s">
        <v>3243</v>
      </c>
      <c r="D301" s="2091" t="s">
        <v>3244</v>
      </c>
      <c r="E301" s="2091" t="s">
        <v>3245</v>
      </c>
      <c r="F301" s="2091" t="s">
        <v>2365</v>
      </c>
      <c r="G301" s="2091" t="s">
        <v>3246</v>
      </c>
      <c r="H301" s="2091" t="s">
        <v>24</v>
      </c>
      <c r="I301" s="2091" t="s">
        <v>706</v>
      </c>
    </row>
    <row r="302" spans="1:9" ht="11.25" customHeight="1">
      <c r="A302" s="2091" t="s">
        <v>2181</v>
      </c>
      <c r="B302" s="2091" t="s">
        <v>14</v>
      </c>
      <c r="C302" s="2091" t="s">
        <v>3247</v>
      </c>
      <c r="D302" s="2091" t="s">
        <v>3248</v>
      </c>
      <c r="E302" s="2091" t="s">
        <v>3249</v>
      </c>
      <c r="F302" s="2091" t="s">
        <v>2334</v>
      </c>
      <c r="G302" s="2091" t="s">
        <v>24</v>
      </c>
      <c r="H302" s="2091" t="s">
        <v>24</v>
      </c>
      <c r="I302" s="2091" t="s">
        <v>706</v>
      </c>
    </row>
    <row r="303" spans="1:9" ht="11.25" customHeight="1">
      <c r="A303" s="2091" t="s">
        <v>2181</v>
      </c>
      <c r="B303" s="2091" t="s">
        <v>14</v>
      </c>
      <c r="C303" s="2091" t="s">
        <v>3250</v>
      </c>
      <c r="D303" s="2091" t="s">
        <v>3251</v>
      </c>
      <c r="E303" s="2091" t="s">
        <v>3252</v>
      </c>
      <c r="F303" s="2091" t="s">
        <v>2405</v>
      </c>
      <c r="G303" s="2091" t="s">
        <v>24</v>
      </c>
      <c r="H303" s="2091" t="s">
        <v>24</v>
      </c>
      <c r="I303" s="2091" t="s">
        <v>706</v>
      </c>
    </row>
    <row r="304" spans="1:9" ht="11.25" customHeight="1">
      <c r="A304" s="2091" t="s">
        <v>2181</v>
      </c>
      <c r="B304" s="2091" t="s">
        <v>14</v>
      </c>
      <c r="C304" s="2091" t="s">
        <v>3253</v>
      </c>
      <c r="D304" s="2091" t="s">
        <v>3254</v>
      </c>
      <c r="E304" s="2091" t="s">
        <v>3255</v>
      </c>
      <c r="F304" s="2091" t="s">
        <v>2273</v>
      </c>
      <c r="G304" s="2091" t="s">
        <v>24</v>
      </c>
      <c r="H304" s="2091" t="s">
        <v>24</v>
      </c>
      <c r="I304" s="2091" t="s">
        <v>706</v>
      </c>
    </row>
    <row r="305" spans="1:9" ht="11.25" customHeight="1">
      <c r="A305" s="2091" t="s">
        <v>2181</v>
      </c>
      <c r="B305" s="2091" t="s">
        <v>14</v>
      </c>
      <c r="C305" s="2091" t="s">
        <v>3256</v>
      </c>
      <c r="D305" s="2091" t="s">
        <v>3257</v>
      </c>
      <c r="E305" s="2091" t="s">
        <v>3258</v>
      </c>
      <c r="F305" s="2091" t="s">
        <v>2317</v>
      </c>
      <c r="G305" s="2091" t="s">
        <v>24</v>
      </c>
      <c r="H305" s="2091" t="s">
        <v>24</v>
      </c>
      <c r="I305" s="2091" t="s">
        <v>706</v>
      </c>
    </row>
    <row r="306" spans="1:9" ht="11.25" customHeight="1">
      <c r="A306" s="2091" t="s">
        <v>2181</v>
      </c>
      <c r="B306" s="2091" t="s">
        <v>14</v>
      </c>
      <c r="C306" s="2091" t="s">
        <v>3259</v>
      </c>
      <c r="D306" s="2091" t="s">
        <v>3260</v>
      </c>
      <c r="E306" s="2091" t="s">
        <v>3261</v>
      </c>
      <c r="F306" s="2091" t="s">
        <v>2317</v>
      </c>
      <c r="G306" s="2091" t="s">
        <v>24</v>
      </c>
      <c r="H306" s="2091" t="s">
        <v>24</v>
      </c>
      <c r="I306" s="2091" t="s">
        <v>706</v>
      </c>
    </row>
    <row r="307" spans="1:9" ht="11.25" customHeight="1">
      <c r="A307" s="2091" t="s">
        <v>2181</v>
      </c>
      <c r="B307" s="2091" t="s">
        <v>14</v>
      </c>
      <c r="C307" s="2091" t="s">
        <v>3262</v>
      </c>
      <c r="D307" s="2091" t="s">
        <v>3263</v>
      </c>
      <c r="E307" s="2091" t="s">
        <v>3264</v>
      </c>
      <c r="F307" s="2091" t="s">
        <v>2343</v>
      </c>
      <c r="G307" s="2091" t="s">
        <v>24</v>
      </c>
      <c r="H307" s="2091" t="s">
        <v>24</v>
      </c>
      <c r="I307" s="2091" t="s">
        <v>706</v>
      </c>
    </row>
    <row r="308" spans="1:9" ht="11.25" customHeight="1">
      <c r="A308" s="2091" t="s">
        <v>2181</v>
      </c>
      <c r="B308" s="2091" t="s">
        <v>14</v>
      </c>
      <c r="C308" s="2091" t="s">
        <v>3265</v>
      </c>
      <c r="D308" s="2091" t="s">
        <v>3266</v>
      </c>
      <c r="E308" s="2091" t="s">
        <v>3267</v>
      </c>
      <c r="F308" s="2091" t="s">
        <v>2194</v>
      </c>
      <c r="G308" s="2091" t="s">
        <v>24</v>
      </c>
      <c r="H308" s="2091" t="s">
        <v>24</v>
      </c>
      <c r="I308" s="2091" t="s">
        <v>706</v>
      </c>
    </row>
    <row r="309" spans="1:9" ht="11.25" customHeight="1">
      <c r="A309" s="2091" t="s">
        <v>2181</v>
      </c>
      <c r="B309" s="2091" t="s">
        <v>14</v>
      </c>
      <c r="C309" s="2091" t="s">
        <v>3268</v>
      </c>
      <c r="D309" s="2091" t="s">
        <v>3269</v>
      </c>
      <c r="E309" s="2091" t="s">
        <v>3270</v>
      </c>
      <c r="F309" s="2091" t="s">
        <v>2578</v>
      </c>
      <c r="G309" s="2091" t="s">
        <v>24</v>
      </c>
      <c r="H309" s="2091" t="s">
        <v>24</v>
      </c>
      <c r="I309" s="2091" t="s">
        <v>706</v>
      </c>
    </row>
    <row r="310" spans="1:9" ht="11.25" customHeight="1">
      <c r="A310" s="2091" t="s">
        <v>2181</v>
      </c>
      <c r="B310" s="2091" t="s">
        <v>14</v>
      </c>
      <c r="C310" s="2091" t="s">
        <v>3271</v>
      </c>
      <c r="D310" s="2091" t="s">
        <v>3272</v>
      </c>
      <c r="E310" s="2091" t="s">
        <v>3273</v>
      </c>
      <c r="F310" s="2091" t="s">
        <v>2709</v>
      </c>
      <c r="G310" s="2091" t="s">
        <v>24</v>
      </c>
      <c r="H310" s="2091" t="s">
        <v>24</v>
      </c>
      <c r="I310" s="2091" t="s">
        <v>706</v>
      </c>
    </row>
    <row r="311" spans="1:9" ht="11.25" customHeight="1">
      <c r="A311" s="2091" t="s">
        <v>2181</v>
      </c>
      <c r="B311" s="2091" t="s">
        <v>14</v>
      </c>
      <c r="C311" s="2091" t="s">
        <v>3274</v>
      </c>
      <c r="D311" s="2091" t="s">
        <v>3275</v>
      </c>
      <c r="E311" s="2091" t="s">
        <v>3276</v>
      </c>
      <c r="F311" s="2091" t="s">
        <v>2218</v>
      </c>
      <c r="G311" s="2091" t="s">
        <v>24</v>
      </c>
      <c r="H311" s="2091" t="s">
        <v>3277</v>
      </c>
      <c r="I311" s="2091" t="s">
        <v>706</v>
      </c>
    </row>
    <row r="312" spans="1:9" ht="11.25" customHeight="1">
      <c r="A312" s="2091" t="s">
        <v>2181</v>
      </c>
      <c r="B312" s="2091" t="s">
        <v>14</v>
      </c>
      <c r="C312" s="2091" t="s">
        <v>3278</v>
      </c>
      <c r="D312" s="2091" t="s">
        <v>3279</v>
      </c>
      <c r="E312" s="2091" t="s">
        <v>3280</v>
      </c>
      <c r="F312" s="2091" t="s">
        <v>2451</v>
      </c>
      <c r="G312" s="2091" t="s">
        <v>24</v>
      </c>
      <c r="H312" s="2091" t="s">
        <v>24</v>
      </c>
      <c r="I312" s="2091" t="s">
        <v>706</v>
      </c>
    </row>
    <row r="313" spans="1:9" ht="11.25" customHeight="1">
      <c r="A313" s="2091" t="s">
        <v>2181</v>
      </c>
      <c r="B313" s="2091" t="s">
        <v>14</v>
      </c>
      <c r="C313" s="2091" t="s">
        <v>3281</v>
      </c>
      <c r="D313" s="2091" t="s">
        <v>3282</v>
      </c>
      <c r="E313" s="2091" t="s">
        <v>3283</v>
      </c>
      <c r="F313" s="2091" t="s">
        <v>3284</v>
      </c>
      <c r="G313" s="2091" t="s">
        <v>3285</v>
      </c>
      <c r="H313" s="2091" t="s">
        <v>24</v>
      </c>
      <c r="I313" s="2091" t="s">
        <v>706</v>
      </c>
    </row>
    <row r="314" spans="1:9" ht="11.25" customHeight="1">
      <c r="A314" s="2091" t="s">
        <v>2181</v>
      </c>
      <c r="B314" s="2091" t="s">
        <v>14</v>
      </c>
      <c r="C314" s="2091" t="s">
        <v>3286</v>
      </c>
      <c r="D314" s="2091" t="s">
        <v>46</v>
      </c>
      <c r="E314" s="2091" t="s">
        <v>49</v>
      </c>
      <c r="F314" s="2091" t="s">
        <v>51</v>
      </c>
      <c r="G314" s="2091" t="s">
        <v>2190</v>
      </c>
      <c r="H314" s="2091" t="s">
        <v>24</v>
      </c>
      <c r="I314" s="2091" t="s">
        <v>706</v>
      </c>
    </row>
    <row r="315" spans="1:9" ht="11.25" customHeight="1">
      <c r="A315" s="2091" t="s">
        <v>2181</v>
      </c>
      <c r="B315" s="2091" t="s">
        <v>14</v>
      </c>
      <c r="C315" s="2091" t="s">
        <v>3287</v>
      </c>
      <c r="D315" s="2091" t="s">
        <v>3288</v>
      </c>
      <c r="E315" s="2091" t="s">
        <v>3289</v>
      </c>
      <c r="F315" s="2091" t="s">
        <v>3290</v>
      </c>
      <c r="G315" s="2091" t="s">
        <v>24</v>
      </c>
      <c r="H315" s="2091" t="s">
        <v>24</v>
      </c>
      <c r="I315" s="2091" t="s">
        <v>706</v>
      </c>
    </row>
    <row r="316" spans="1:9" ht="11.25" customHeight="1">
      <c r="A316" s="2091" t="s">
        <v>2181</v>
      </c>
      <c r="B316" s="2091" t="s">
        <v>14</v>
      </c>
      <c r="C316" s="2091" t="s">
        <v>3291</v>
      </c>
      <c r="D316" s="2091" t="s">
        <v>3292</v>
      </c>
      <c r="E316" s="2091" t="s">
        <v>3293</v>
      </c>
      <c r="F316" s="2091" t="s">
        <v>2338</v>
      </c>
      <c r="G316" s="2091" t="s">
        <v>24</v>
      </c>
      <c r="H316" s="2091" t="s">
        <v>24</v>
      </c>
      <c r="I316" s="2091" t="s">
        <v>706</v>
      </c>
    </row>
    <row r="317" spans="1:9" ht="11.25" customHeight="1">
      <c r="A317" s="2091" t="s">
        <v>2181</v>
      </c>
      <c r="B317" s="2091" t="s">
        <v>14</v>
      </c>
      <c r="C317" s="2091" t="s">
        <v>3294</v>
      </c>
      <c r="D317" s="2091" t="s">
        <v>3295</v>
      </c>
      <c r="E317" s="2091" t="s">
        <v>3296</v>
      </c>
      <c r="F317" s="2091" t="s">
        <v>2709</v>
      </c>
      <c r="G317" s="2091" t="s">
        <v>24</v>
      </c>
      <c r="H317" s="2091" t="s">
        <v>24</v>
      </c>
      <c r="I317" s="2091" t="s">
        <v>706</v>
      </c>
    </row>
    <row r="318" spans="1:9" ht="11.25" customHeight="1">
      <c r="A318" s="2091" t="s">
        <v>2181</v>
      </c>
      <c r="B318" s="2091" t="s">
        <v>14</v>
      </c>
      <c r="C318" s="2091" t="s">
        <v>3297</v>
      </c>
      <c r="D318" s="2091" t="s">
        <v>3298</v>
      </c>
      <c r="E318" s="2091" t="s">
        <v>3299</v>
      </c>
      <c r="F318" s="2091" t="s">
        <v>2198</v>
      </c>
      <c r="G318" s="2091" t="s">
        <v>24</v>
      </c>
      <c r="H318" s="2091" t="s">
        <v>24</v>
      </c>
      <c r="I318" s="2091" t="s">
        <v>706</v>
      </c>
    </row>
    <row r="319" spans="1:9" ht="11.25" customHeight="1">
      <c r="A319" s="2091" t="s">
        <v>2181</v>
      </c>
      <c r="B319" s="2091" t="s">
        <v>14</v>
      </c>
      <c r="C319" s="2091" t="s">
        <v>3300</v>
      </c>
      <c r="D319" s="2091" t="s">
        <v>3301</v>
      </c>
      <c r="E319" s="2091" t="s">
        <v>3302</v>
      </c>
      <c r="F319" s="2091" t="s">
        <v>3303</v>
      </c>
      <c r="G319" s="2091" t="s">
        <v>24</v>
      </c>
      <c r="H319" s="2091" t="s">
        <v>24</v>
      </c>
      <c r="I319" s="2091" t="s">
        <v>706</v>
      </c>
    </row>
    <row r="320" spans="1:9" ht="11.25" customHeight="1">
      <c r="A320" s="2091" t="s">
        <v>2181</v>
      </c>
      <c r="B320" s="2091" t="s">
        <v>14</v>
      </c>
      <c r="C320" s="2091" t="s">
        <v>3304</v>
      </c>
      <c r="D320" s="2091" t="s">
        <v>3305</v>
      </c>
      <c r="E320" s="2091" t="s">
        <v>3306</v>
      </c>
      <c r="F320" s="2091" t="s">
        <v>3307</v>
      </c>
      <c r="G320" s="2091" t="s">
        <v>24</v>
      </c>
      <c r="H320" s="2091" t="s">
        <v>24</v>
      </c>
      <c r="I320" s="2091" t="s">
        <v>706</v>
      </c>
    </row>
    <row r="321" spans="1:9" ht="11.25" customHeight="1">
      <c r="A321" s="2091" t="s">
        <v>2181</v>
      </c>
      <c r="B321" s="2091" t="s">
        <v>14</v>
      </c>
      <c r="C321" s="2091" t="s">
        <v>3308</v>
      </c>
      <c r="D321" s="2091" t="s">
        <v>3309</v>
      </c>
      <c r="E321" s="2091" t="s">
        <v>3310</v>
      </c>
      <c r="F321" s="2091" t="s">
        <v>2424</v>
      </c>
      <c r="G321" s="2091" t="s">
        <v>3311</v>
      </c>
      <c r="H321" s="2091" t="s">
        <v>24</v>
      </c>
      <c r="I321" s="2091" t="s">
        <v>706</v>
      </c>
    </row>
    <row r="322" spans="1:9" ht="11.25" customHeight="1">
      <c r="A322" s="2091" t="s">
        <v>2181</v>
      </c>
      <c r="B322" s="2091" t="s">
        <v>14</v>
      </c>
      <c r="C322" s="2091" t="s">
        <v>3312</v>
      </c>
      <c r="D322" s="2091" t="s">
        <v>3313</v>
      </c>
      <c r="E322" s="2091" t="s">
        <v>3314</v>
      </c>
      <c r="F322" s="2091" t="s">
        <v>2222</v>
      </c>
      <c r="G322" s="2091" t="s">
        <v>3315</v>
      </c>
      <c r="H322" s="2091" t="s">
        <v>24</v>
      </c>
      <c r="I322" s="2091" t="s">
        <v>706</v>
      </c>
    </row>
    <row r="323" spans="1:9" ht="11.25" customHeight="1">
      <c r="A323" s="2091" t="s">
        <v>2181</v>
      </c>
      <c r="B323" s="2091" t="s">
        <v>14</v>
      </c>
      <c r="C323" s="2091" t="s">
        <v>3316</v>
      </c>
      <c r="D323" s="2091" t="s">
        <v>3317</v>
      </c>
      <c r="E323" s="2091" t="s">
        <v>3318</v>
      </c>
      <c r="F323" s="2091" t="s">
        <v>3319</v>
      </c>
      <c r="G323" s="2091" t="s">
        <v>24</v>
      </c>
      <c r="H323" s="2091" t="s">
        <v>24</v>
      </c>
      <c r="I323" s="2091" t="s">
        <v>706</v>
      </c>
    </row>
    <row r="324" spans="1:9" ht="11.25" customHeight="1">
      <c r="A324" s="2091" t="s">
        <v>2181</v>
      </c>
      <c r="B324" s="2091" t="s">
        <v>14</v>
      </c>
      <c r="C324" s="2091" t="s">
        <v>3320</v>
      </c>
      <c r="D324" s="2091" t="s">
        <v>3321</v>
      </c>
      <c r="E324" s="2091" t="s">
        <v>3322</v>
      </c>
      <c r="F324" s="2091" t="s">
        <v>2468</v>
      </c>
      <c r="G324" s="2091" t="s">
        <v>24</v>
      </c>
      <c r="H324" s="2091" t="s">
        <v>24</v>
      </c>
      <c r="I324" s="2091" t="s">
        <v>706</v>
      </c>
    </row>
    <row r="325" spans="1:9" ht="11.25" customHeight="1">
      <c r="A325" s="2091" t="s">
        <v>2181</v>
      </c>
      <c r="B325" s="2091" t="s">
        <v>14</v>
      </c>
      <c r="C325" s="2091" t="s">
        <v>3323</v>
      </c>
      <c r="D325" s="2091" t="s">
        <v>3324</v>
      </c>
      <c r="E325" s="2091" t="s">
        <v>3296</v>
      </c>
      <c r="F325" s="2091" t="s">
        <v>3325</v>
      </c>
      <c r="G325" s="2091" t="s">
        <v>2714</v>
      </c>
      <c r="H325" s="2091" t="s">
        <v>24</v>
      </c>
      <c r="I325" s="2091" t="s">
        <v>706</v>
      </c>
    </row>
    <row r="326" spans="1:9" ht="11.25" customHeight="1">
      <c r="A326" s="2091" t="s">
        <v>2181</v>
      </c>
      <c r="B326" s="2091" t="s">
        <v>14</v>
      </c>
      <c r="C326" s="2091" t="s">
        <v>3326</v>
      </c>
      <c r="D326" s="2091" t="s">
        <v>3327</v>
      </c>
      <c r="E326" s="2091" t="s">
        <v>3328</v>
      </c>
      <c r="F326" s="2091" t="s">
        <v>2218</v>
      </c>
      <c r="G326" s="2091" t="s">
        <v>3329</v>
      </c>
      <c r="H326" s="2091" t="s">
        <v>24</v>
      </c>
      <c r="I326" s="2091" t="s">
        <v>706</v>
      </c>
    </row>
    <row r="327" spans="1:9" ht="11.25" customHeight="1">
      <c r="A327" s="2091" t="s">
        <v>2181</v>
      </c>
      <c r="B327" s="2091" t="s">
        <v>14</v>
      </c>
      <c r="C327" s="2091" t="s">
        <v>3330</v>
      </c>
      <c r="D327" s="2091" t="s">
        <v>3331</v>
      </c>
      <c r="E327" s="2091" t="s">
        <v>3332</v>
      </c>
      <c r="F327" s="2091" t="s">
        <v>3333</v>
      </c>
      <c r="G327" s="2091" t="s">
        <v>3334</v>
      </c>
      <c r="H327" s="2091" t="s">
        <v>24</v>
      </c>
      <c r="I327" s="2091" t="s">
        <v>706</v>
      </c>
    </row>
    <row r="328" spans="1:9" ht="11.25" customHeight="1">
      <c r="A328" s="2091" t="s">
        <v>2181</v>
      </c>
      <c r="B328" s="2091" t="s">
        <v>14</v>
      </c>
      <c r="C328" s="2091" t="s">
        <v>3335</v>
      </c>
      <c r="D328" s="2091" t="s">
        <v>3336</v>
      </c>
      <c r="E328" s="2091" t="s">
        <v>49</v>
      </c>
      <c r="F328" s="2091" t="s">
        <v>3337</v>
      </c>
      <c r="G328" s="2091" t="s">
        <v>24</v>
      </c>
      <c r="H328" s="2091" t="s">
        <v>24</v>
      </c>
      <c r="I328" s="2091" t="s">
        <v>706</v>
      </c>
    </row>
    <row r="329" spans="1:9" ht="11.25" customHeight="1">
      <c r="A329" s="2091" t="s">
        <v>2181</v>
      </c>
      <c r="B329" s="2091" t="s">
        <v>14</v>
      </c>
      <c r="C329" s="2091" t="s">
        <v>3338</v>
      </c>
      <c r="D329" s="2091" t="s">
        <v>3339</v>
      </c>
      <c r="E329" s="2091" t="s">
        <v>3340</v>
      </c>
      <c r="F329" s="2091" t="s">
        <v>3341</v>
      </c>
      <c r="G329" s="2091" t="s">
        <v>24</v>
      </c>
      <c r="H329" s="2091" t="s">
        <v>24</v>
      </c>
      <c r="I329" s="2091" t="s">
        <v>706</v>
      </c>
    </row>
    <row r="330" spans="1:9" ht="11.25" customHeight="1">
      <c r="A330" s="2091" t="s">
        <v>2181</v>
      </c>
      <c r="B330" s="2091" t="s">
        <v>14</v>
      </c>
      <c r="C330" s="2091" t="s">
        <v>3342</v>
      </c>
      <c r="D330" s="2091" t="s">
        <v>3343</v>
      </c>
      <c r="E330" s="2091" t="s">
        <v>3306</v>
      </c>
      <c r="F330" s="2091" t="s">
        <v>3344</v>
      </c>
      <c r="G330" s="2091" t="s">
        <v>24</v>
      </c>
      <c r="H330" s="2091" t="s">
        <v>24</v>
      </c>
      <c r="I330" s="2091" t="s">
        <v>706</v>
      </c>
    </row>
    <row r="331" spans="1:9" ht="11.25" customHeight="1">
      <c r="A331" s="2091" t="s">
        <v>2181</v>
      </c>
      <c r="B331" s="2091" t="s">
        <v>14</v>
      </c>
      <c r="C331" s="2091" t="s">
        <v>3345</v>
      </c>
      <c r="D331" s="2091" t="s">
        <v>3346</v>
      </c>
      <c r="E331" s="2091" t="s">
        <v>2229</v>
      </c>
      <c r="F331" s="2091" t="s">
        <v>2401</v>
      </c>
      <c r="G331" s="2091" t="s">
        <v>3347</v>
      </c>
      <c r="H331" s="2091" t="s">
        <v>24</v>
      </c>
      <c r="I331" s="2091" t="s">
        <v>706</v>
      </c>
    </row>
    <row r="332" spans="1:9" ht="11.25" customHeight="1">
      <c r="A332" s="2091" t="s">
        <v>2181</v>
      </c>
      <c r="B332" s="2091" t="s">
        <v>14</v>
      </c>
      <c r="C332" s="2091" t="s">
        <v>3348</v>
      </c>
      <c r="D332" s="2091" t="s">
        <v>3349</v>
      </c>
      <c r="E332" s="2091" t="s">
        <v>3350</v>
      </c>
      <c r="F332" s="2091" t="s">
        <v>3351</v>
      </c>
      <c r="G332" s="2091" t="s">
        <v>24</v>
      </c>
      <c r="H332" s="2091" t="s">
        <v>24</v>
      </c>
      <c r="I332" s="2091" t="s">
        <v>706</v>
      </c>
    </row>
    <row r="333" spans="1:9" ht="11.25" customHeight="1">
      <c r="A333" s="2091" t="s">
        <v>2181</v>
      </c>
      <c r="B333" s="2091" t="s">
        <v>14</v>
      </c>
      <c r="C333" s="2091" t="s">
        <v>2182</v>
      </c>
      <c r="D333" s="2091" t="s">
        <v>2183</v>
      </c>
      <c r="E333" s="2091" t="s">
        <v>2184</v>
      </c>
      <c r="F333" s="2091" t="s">
        <v>2185</v>
      </c>
      <c r="G333" s="2091" t="s">
        <v>24</v>
      </c>
      <c r="H333" s="2091" t="s">
        <v>24</v>
      </c>
      <c r="I333" s="2091" t="s">
        <v>790</v>
      </c>
    </row>
    <row r="334" spans="1:9" ht="11.25" customHeight="1">
      <c r="A334" s="2091" t="s">
        <v>2181</v>
      </c>
      <c r="B334" s="2091" t="s">
        <v>14</v>
      </c>
      <c r="C334" s="2091" t="s">
        <v>2186</v>
      </c>
      <c r="D334" s="2091" t="s">
        <v>2187</v>
      </c>
      <c r="E334" s="2091" t="s">
        <v>2188</v>
      </c>
      <c r="F334" s="2091" t="s">
        <v>2189</v>
      </c>
      <c r="G334" s="2091" t="s">
        <v>2190</v>
      </c>
      <c r="H334" s="2091" t="s">
        <v>24</v>
      </c>
      <c r="I334" s="2091" t="s">
        <v>790</v>
      </c>
    </row>
    <row r="335" spans="1:9" ht="11.25" customHeight="1">
      <c r="A335" s="2091" t="s">
        <v>2181</v>
      </c>
      <c r="B335" s="2091" t="s">
        <v>14</v>
      </c>
      <c r="C335" s="2091" t="s">
        <v>2200</v>
      </c>
      <c r="D335" s="2091" t="s">
        <v>2201</v>
      </c>
      <c r="E335" s="2091" t="s">
        <v>2202</v>
      </c>
      <c r="F335" s="2091" t="s">
        <v>2203</v>
      </c>
      <c r="G335" s="2091" t="s">
        <v>2204</v>
      </c>
      <c r="H335" s="2091" t="s">
        <v>24</v>
      </c>
      <c r="I335" s="2091" t="s">
        <v>790</v>
      </c>
    </row>
    <row r="336" spans="1:9" ht="11.25" customHeight="1">
      <c r="A336" s="2091" t="s">
        <v>2181</v>
      </c>
      <c r="B336" s="2091" t="s">
        <v>14</v>
      </c>
      <c r="C336" s="2091" t="s">
        <v>2210</v>
      </c>
      <c r="D336" s="2091" t="s">
        <v>2211</v>
      </c>
      <c r="E336" s="2091" t="s">
        <v>2212</v>
      </c>
      <c r="F336" s="2091" t="s">
        <v>2213</v>
      </c>
      <c r="G336" s="2091" t="s">
        <v>2214</v>
      </c>
      <c r="H336" s="2091" t="s">
        <v>24</v>
      </c>
      <c r="I336" s="2091" t="s">
        <v>790</v>
      </c>
    </row>
    <row r="337" spans="1:9" ht="11.25" customHeight="1">
      <c r="A337" s="2091" t="s">
        <v>2181</v>
      </c>
      <c r="B337" s="2091" t="s">
        <v>14</v>
      </c>
      <c r="C337" s="2091" t="s">
        <v>2215</v>
      </c>
      <c r="D337" s="2091" t="s">
        <v>2216</v>
      </c>
      <c r="E337" s="2091" t="s">
        <v>2217</v>
      </c>
      <c r="F337" s="2091" t="s">
        <v>2218</v>
      </c>
      <c r="G337" s="2091" t="s">
        <v>24</v>
      </c>
      <c r="H337" s="2091" t="s">
        <v>24</v>
      </c>
      <c r="I337" s="2091" t="s">
        <v>790</v>
      </c>
    </row>
    <row r="338" spans="1:9" ht="11.25" customHeight="1">
      <c r="A338" s="2091" t="s">
        <v>2181</v>
      </c>
      <c r="B338" s="2091" t="s">
        <v>14</v>
      </c>
      <c r="C338" s="2091" t="s">
        <v>2227</v>
      </c>
      <c r="D338" s="2091" t="s">
        <v>2228</v>
      </c>
      <c r="E338" s="2091" t="s">
        <v>2229</v>
      </c>
      <c r="F338" s="2091" t="s">
        <v>2222</v>
      </c>
      <c r="G338" s="2091" t="s">
        <v>2230</v>
      </c>
      <c r="H338" s="2091" t="s">
        <v>24</v>
      </c>
      <c r="I338" s="2091" t="s">
        <v>790</v>
      </c>
    </row>
    <row r="339" spans="1:9" ht="11.25" customHeight="1">
      <c r="A339" s="2091" t="s">
        <v>2181</v>
      </c>
      <c r="B339" s="2091" t="s">
        <v>14</v>
      </c>
      <c r="C339" s="2091" t="s">
        <v>2236</v>
      </c>
      <c r="D339" s="2091" t="s">
        <v>2237</v>
      </c>
      <c r="E339" s="2091" t="s">
        <v>2238</v>
      </c>
      <c r="F339" s="2091" t="s">
        <v>2239</v>
      </c>
      <c r="G339" s="2091" t="s">
        <v>24</v>
      </c>
      <c r="H339" s="2091" t="s">
        <v>24</v>
      </c>
      <c r="I339" s="2091" t="s">
        <v>790</v>
      </c>
    </row>
    <row r="340" spans="1:9" ht="11.25" customHeight="1">
      <c r="A340" s="2091" t="s">
        <v>2181</v>
      </c>
      <c r="B340" s="2091" t="s">
        <v>14</v>
      </c>
      <c r="C340" s="2091" t="s">
        <v>2244</v>
      </c>
      <c r="D340" s="2091" t="s">
        <v>2245</v>
      </c>
      <c r="E340" s="2091" t="s">
        <v>2246</v>
      </c>
      <c r="F340" s="2091" t="s">
        <v>2185</v>
      </c>
      <c r="G340" s="2091" t="s">
        <v>2234</v>
      </c>
      <c r="H340" s="2091" t="s">
        <v>24</v>
      </c>
      <c r="I340" s="2091" t="s">
        <v>790</v>
      </c>
    </row>
    <row r="341" spans="1:9" ht="11.25" customHeight="1">
      <c r="A341" s="2091" t="s">
        <v>2181</v>
      </c>
      <c r="B341" s="2091" t="s">
        <v>14</v>
      </c>
      <c r="C341" s="2091" t="s">
        <v>2252</v>
      </c>
      <c r="D341" s="2091" t="s">
        <v>2253</v>
      </c>
      <c r="E341" s="2091" t="s">
        <v>2254</v>
      </c>
      <c r="F341" s="2091" t="s">
        <v>2255</v>
      </c>
      <c r="G341" s="2091" t="s">
        <v>2256</v>
      </c>
      <c r="H341" s="2091" t="s">
        <v>24</v>
      </c>
      <c r="I341" s="2091" t="s">
        <v>790</v>
      </c>
    </row>
    <row r="342" spans="1:9" ht="11.25" customHeight="1">
      <c r="A342" s="2091" t="s">
        <v>2181</v>
      </c>
      <c r="B342" s="2091" t="s">
        <v>14</v>
      </c>
      <c r="C342" s="2091" t="s">
        <v>2257</v>
      </c>
      <c r="D342" s="2091" t="s">
        <v>2258</v>
      </c>
      <c r="E342" s="2091" t="s">
        <v>2259</v>
      </c>
      <c r="F342" s="2091" t="s">
        <v>2260</v>
      </c>
      <c r="G342" s="2091" t="s">
        <v>2261</v>
      </c>
      <c r="H342" s="2091" t="s">
        <v>24</v>
      </c>
      <c r="I342" s="2091" t="s">
        <v>790</v>
      </c>
    </row>
    <row r="343" spans="1:9" ht="11.25" customHeight="1">
      <c r="A343" s="2091" t="s">
        <v>2181</v>
      </c>
      <c r="B343" s="2091" t="s">
        <v>14</v>
      </c>
      <c r="C343" s="2091" t="s">
        <v>2265</v>
      </c>
      <c r="D343" s="2091" t="s">
        <v>2266</v>
      </c>
      <c r="E343" s="2091" t="s">
        <v>2267</v>
      </c>
      <c r="F343" s="2091" t="s">
        <v>2268</v>
      </c>
      <c r="G343" s="2091" t="s">
        <v>2269</v>
      </c>
      <c r="H343" s="2091" t="s">
        <v>24</v>
      </c>
      <c r="I343" s="2091" t="s">
        <v>790</v>
      </c>
    </row>
    <row r="344" spans="1:9" ht="11.25" customHeight="1">
      <c r="A344" s="2091" t="s">
        <v>2181</v>
      </c>
      <c r="B344" s="2091" t="s">
        <v>14</v>
      </c>
      <c r="C344" s="2091" t="s">
        <v>2270</v>
      </c>
      <c r="D344" s="2091" t="s">
        <v>2271</v>
      </c>
      <c r="E344" s="2091" t="s">
        <v>2272</v>
      </c>
      <c r="F344" s="2091" t="s">
        <v>2273</v>
      </c>
      <c r="G344" s="2091" t="s">
        <v>2274</v>
      </c>
      <c r="H344" s="2091" t="s">
        <v>24</v>
      </c>
      <c r="I344" s="2091" t="s">
        <v>790</v>
      </c>
    </row>
    <row r="345" spans="1:9" ht="11.25" customHeight="1">
      <c r="A345" s="2091" t="s">
        <v>2181</v>
      </c>
      <c r="B345" s="2091" t="s">
        <v>14</v>
      </c>
      <c r="C345" s="2091" t="s">
        <v>2275</v>
      </c>
      <c r="D345" s="2091" t="s">
        <v>2276</v>
      </c>
      <c r="E345" s="2091" t="s">
        <v>2277</v>
      </c>
      <c r="F345" s="2091" t="s">
        <v>2278</v>
      </c>
      <c r="G345" s="2091" t="s">
        <v>2279</v>
      </c>
      <c r="H345" s="2091" t="s">
        <v>24</v>
      </c>
      <c r="I345" s="2091" t="s">
        <v>790</v>
      </c>
    </row>
    <row r="346" spans="1:9" ht="11.25" customHeight="1">
      <c r="A346" s="2091" t="s">
        <v>2181</v>
      </c>
      <c r="B346" s="2091" t="s">
        <v>14</v>
      </c>
      <c r="C346" s="2091" t="s">
        <v>2280</v>
      </c>
      <c r="D346" s="2091" t="s">
        <v>2281</v>
      </c>
      <c r="E346" s="2091" t="s">
        <v>2282</v>
      </c>
      <c r="F346" s="2091" t="s">
        <v>2283</v>
      </c>
      <c r="G346" s="2091" t="s">
        <v>24</v>
      </c>
      <c r="H346" s="2091" t="s">
        <v>24</v>
      </c>
      <c r="I346" s="2091" t="s">
        <v>790</v>
      </c>
    </row>
    <row r="347" spans="1:9" ht="11.25" customHeight="1">
      <c r="A347" s="2091" t="s">
        <v>2181</v>
      </c>
      <c r="B347" s="2091" t="s">
        <v>14</v>
      </c>
      <c r="C347" s="2091" t="s">
        <v>2284</v>
      </c>
      <c r="D347" s="2091" t="s">
        <v>2285</v>
      </c>
      <c r="E347" s="2091" t="s">
        <v>2286</v>
      </c>
      <c r="F347" s="2091" t="s">
        <v>2278</v>
      </c>
      <c r="G347" s="2091" t="s">
        <v>24</v>
      </c>
      <c r="H347" s="2091" t="s">
        <v>24</v>
      </c>
      <c r="I347" s="2091" t="s">
        <v>790</v>
      </c>
    </row>
    <row r="348" spans="1:9" ht="11.25" customHeight="1">
      <c r="A348" s="2091" t="s">
        <v>2181</v>
      </c>
      <c r="B348" s="2091" t="s">
        <v>14</v>
      </c>
      <c r="C348" s="2091" t="s">
        <v>2290</v>
      </c>
      <c r="D348" s="2091" t="s">
        <v>2291</v>
      </c>
      <c r="E348" s="2091" t="s">
        <v>2292</v>
      </c>
      <c r="F348" s="2091" t="s">
        <v>2293</v>
      </c>
      <c r="G348" s="2091" t="s">
        <v>24</v>
      </c>
      <c r="H348" s="2091" t="s">
        <v>24</v>
      </c>
      <c r="I348" s="2091" t="s">
        <v>790</v>
      </c>
    </row>
    <row r="349" spans="1:9" ht="11.25" customHeight="1">
      <c r="A349" s="2091" t="s">
        <v>2181</v>
      </c>
      <c r="B349" s="2091" t="s">
        <v>14</v>
      </c>
      <c r="C349" s="2091" t="s">
        <v>2294</v>
      </c>
      <c r="D349" s="2091" t="s">
        <v>2295</v>
      </c>
      <c r="E349" s="2091" t="s">
        <v>2296</v>
      </c>
      <c r="F349" s="2091" t="s">
        <v>2297</v>
      </c>
      <c r="G349" s="2091" t="s">
        <v>24</v>
      </c>
      <c r="H349" s="2091" t="s">
        <v>24</v>
      </c>
      <c r="I349" s="2091" t="s">
        <v>790</v>
      </c>
    </row>
    <row r="350" spans="1:9" ht="11.25" customHeight="1">
      <c r="A350" s="2091" t="s">
        <v>2181</v>
      </c>
      <c r="B350" s="2091" t="s">
        <v>14</v>
      </c>
      <c r="C350" s="2091" t="s">
        <v>2301</v>
      </c>
      <c r="D350" s="2091" t="s">
        <v>2302</v>
      </c>
      <c r="E350" s="2091" t="s">
        <v>2238</v>
      </c>
      <c r="F350" s="2091" t="s">
        <v>2303</v>
      </c>
      <c r="G350" s="2091" t="s">
        <v>24</v>
      </c>
      <c r="H350" s="2091" t="s">
        <v>24</v>
      </c>
      <c r="I350" s="2091" t="s">
        <v>790</v>
      </c>
    </row>
    <row r="351" spans="1:9" ht="11.25" customHeight="1">
      <c r="A351" s="2091" t="s">
        <v>2181</v>
      </c>
      <c r="B351" s="2091" t="s">
        <v>14</v>
      </c>
      <c r="C351" s="2091" t="s">
        <v>2307</v>
      </c>
      <c r="D351" s="2091" t="s">
        <v>2308</v>
      </c>
      <c r="E351" s="2091" t="s">
        <v>2309</v>
      </c>
      <c r="F351" s="2091" t="s">
        <v>2185</v>
      </c>
      <c r="G351" s="2091" t="s">
        <v>24</v>
      </c>
      <c r="H351" s="2091" t="s">
        <v>24</v>
      </c>
      <c r="I351" s="2091" t="s">
        <v>790</v>
      </c>
    </row>
    <row r="352" spans="1:9" ht="11.25" customHeight="1">
      <c r="A352" s="2091" t="s">
        <v>2181</v>
      </c>
      <c r="B352" s="2091" t="s">
        <v>14</v>
      </c>
      <c r="C352" s="2091" t="s">
        <v>2310</v>
      </c>
      <c r="D352" s="2091" t="s">
        <v>2311</v>
      </c>
      <c r="E352" s="2091" t="s">
        <v>2312</v>
      </c>
      <c r="F352" s="2091" t="s">
        <v>2313</v>
      </c>
      <c r="G352" s="2091" t="s">
        <v>24</v>
      </c>
      <c r="H352" s="2091" t="s">
        <v>24</v>
      </c>
      <c r="I352" s="2091" t="s">
        <v>790</v>
      </c>
    </row>
    <row r="353" spans="1:9" ht="11.25" customHeight="1">
      <c r="A353" s="2091" t="s">
        <v>2181</v>
      </c>
      <c r="B353" s="2091" t="s">
        <v>14</v>
      </c>
      <c r="C353" s="2091" t="s">
        <v>2314</v>
      </c>
      <c r="D353" s="2091" t="s">
        <v>2315</v>
      </c>
      <c r="E353" s="2091" t="s">
        <v>2316</v>
      </c>
      <c r="F353" s="2091" t="s">
        <v>2317</v>
      </c>
      <c r="G353" s="2091" t="s">
        <v>24</v>
      </c>
      <c r="H353" s="2091" t="s">
        <v>24</v>
      </c>
      <c r="I353" s="2091" t="s">
        <v>790</v>
      </c>
    </row>
    <row r="354" spans="1:9" ht="11.25" customHeight="1">
      <c r="A354" s="2091" t="s">
        <v>2181</v>
      </c>
      <c r="B354" s="2091" t="s">
        <v>14</v>
      </c>
      <c r="C354" s="2091" t="s">
        <v>2318</v>
      </c>
      <c r="D354" s="2091" t="s">
        <v>2319</v>
      </c>
      <c r="E354" s="2091" t="s">
        <v>2320</v>
      </c>
      <c r="F354" s="2091" t="s">
        <v>2317</v>
      </c>
      <c r="G354" s="2091" t="s">
        <v>2321</v>
      </c>
      <c r="H354" s="2091" t="s">
        <v>24</v>
      </c>
      <c r="I354" s="2091" t="s">
        <v>790</v>
      </c>
    </row>
    <row r="355" spans="1:9" ht="11.25" customHeight="1">
      <c r="A355" s="2091" t="s">
        <v>2181</v>
      </c>
      <c r="B355" s="2091" t="s">
        <v>14</v>
      </c>
      <c r="C355" s="2091" t="s">
        <v>2326</v>
      </c>
      <c r="D355" s="2091" t="s">
        <v>2327</v>
      </c>
      <c r="E355" s="2091" t="s">
        <v>2328</v>
      </c>
      <c r="F355" s="2091" t="s">
        <v>2329</v>
      </c>
      <c r="G355" s="2091" t="s">
        <v>2330</v>
      </c>
      <c r="H355" s="2091" t="s">
        <v>24</v>
      </c>
      <c r="I355" s="2091" t="s">
        <v>790</v>
      </c>
    </row>
    <row r="356" spans="1:9" ht="11.25" customHeight="1">
      <c r="A356" s="2091" t="s">
        <v>2181</v>
      </c>
      <c r="B356" s="2091" t="s">
        <v>14</v>
      </c>
      <c r="C356" s="2091" t="s">
        <v>2335</v>
      </c>
      <c r="D356" s="2091" t="s">
        <v>2336</v>
      </c>
      <c r="E356" s="2091" t="s">
        <v>2337</v>
      </c>
      <c r="F356" s="2091" t="s">
        <v>2338</v>
      </c>
      <c r="G356" s="2091" t="s">
        <v>2339</v>
      </c>
      <c r="H356" s="2091" t="s">
        <v>24</v>
      </c>
      <c r="I356" s="2091" t="s">
        <v>790</v>
      </c>
    </row>
    <row r="357" spans="1:9" ht="11.25" customHeight="1">
      <c r="A357" s="2091" t="s">
        <v>2181</v>
      </c>
      <c r="B357" s="2091" t="s">
        <v>14</v>
      </c>
      <c r="C357" s="2091" t="s">
        <v>2340</v>
      </c>
      <c r="D357" s="2091" t="s">
        <v>2341</v>
      </c>
      <c r="E357" s="2091" t="s">
        <v>2342</v>
      </c>
      <c r="F357" s="2091" t="s">
        <v>2343</v>
      </c>
      <c r="G357" s="2091" t="s">
        <v>2344</v>
      </c>
      <c r="H357" s="2091" t="s">
        <v>24</v>
      </c>
      <c r="I357" s="2091" t="s">
        <v>790</v>
      </c>
    </row>
    <row r="358" spans="1:9" ht="11.25" customHeight="1">
      <c r="A358" s="2091" t="s">
        <v>2181</v>
      </c>
      <c r="B358" s="2091" t="s">
        <v>14</v>
      </c>
      <c r="C358" s="2091" t="s">
        <v>2345</v>
      </c>
      <c r="D358" s="2091" t="s">
        <v>2346</v>
      </c>
      <c r="E358" s="2091" t="s">
        <v>2347</v>
      </c>
      <c r="F358" s="2091" t="s">
        <v>2348</v>
      </c>
      <c r="G358" s="2091" t="s">
        <v>24</v>
      </c>
      <c r="H358" s="2091" t="s">
        <v>24</v>
      </c>
      <c r="I358" s="2091" t="s">
        <v>790</v>
      </c>
    </row>
    <row r="359" spans="1:9" ht="11.25" customHeight="1">
      <c r="A359" s="2091" t="s">
        <v>2181</v>
      </c>
      <c r="B359" s="2091" t="s">
        <v>14</v>
      </c>
      <c r="C359" s="2091" t="s">
        <v>2349</v>
      </c>
      <c r="D359" s="2091" t="s">
        <v>2350</v>
      </c>
      <c r="E359" s="2091" t="s">
        <v>2351</v>
      </c>
      <c r="F359" s="2091" t="s">
        <v>2317</v>
      </c>
      <c r="G359" s="2091" t="s">
        <v>24</v>
      </c>
      <c r="H359" s="2091" t="s">
        <v>24</v>
      </c>
      <c r="I359" s="2091" t="s">
        <v>790</v>
      </c>
    </row>
    <row r="360" spans="1:9" ht="11.25" customHeight="1">
      <c r="A360" s="2091" t="s">
        <v>2181</v>
      </c>
      <c r="B360" s="2091" t="s">
        <v>14</v>
      </c>
      <c r="C360" s="2091" t="s">
        <v>2358</v>
      </c>
      <c r="D360" s="2091" t="s">
        <v>2359</v>
      </c>
      <c r="E360" s="2091" t="s">
        <v>2360</v>
      </c>
      <c r="F360" s="2091" t="s">
        <v>2361</v>
      </c>
      <c r="G360" s="2091" t="s">
        <v>24</v>
      </c>
      <c r="H360" s="2091" t="s">
        <v>24</v>
      </c>
      <c r="I360" s="2091" t="s">
        <v>790</v>
      </c>
    </row>
    <row r="361" spans="1:9" ht="11.25" customHeight="1">
      <c r="A361" s="2091" t="s">
        <v>2181</v>
      </c>
      <c r="B361" s="2091" t="s">
        <v>14</v>
      </c>
      <c r="C361" s="2091" t="s">
        <v>2380</v>
      </c>
      <c r="D361" s="2091" t="s">
        <v>2381</v>
      </c>
      <c r="E361" s="2091" t="s">
        <v>2382</v>
      </c>
      <c r="F361" s="2091" t="s">
        <v>2383</v>
      </c>
      <c r="G361" s="2091" t="s">
        <v>24</v>
      </c>
      <c r="H361" s="2091" t="s">
        <v>24</v>
      </c>
      <c r="I361" s="2091" t="s">
        <v>790</v>
      </c>
    </row>
    <row r="362" spans="1:9" ht="11.25" customHeight="1">
      <c r="A362" s="2091" t="s">
        <v>2181</v>
      </c>
      <c r="B362" s="2091" t="s">
        <v>14</v>
      </c>
      <c r="C362" s="2091" t="s">
        <v>2391</v>
      </c>
      <c r="D362" s="2091" t="s">
        <v>2392</v>
      </c>
      <c r="E362" s="2091" t="s">
        <v>2393</v>
      </c>
      <c r="F362" s="2091" t="s">
        <v>2394</v>
      </c>
      <c r="G362" s="2091" t="s">
        <v>24</v>
      </c>
      <c r="H362" s="2091" t="s">
        <v>24</v>
      </c>
      <c r="I362" s="2091" t="s">
        <v>790</v>
      </c>
    </row>
    <row r="363" spans="1:9" ht="11.25" customHeight="1">
      <c r="A363" s="2091" t="s">
        <v>2181</v>
      </c>
      <c r="B363" s="2091" t="s">
        <v>14</v>
      </c>
      <c r="C363" s="2091" t="s">
        <v>2395</v>
      </c>
      <c r="D363" s="2091" t="s">
        <v>2396</v>
      </c>
      <c r="E363" s="2091" t="s">
        <v>2397</v>
      </c>
      <c r="F363" s="2091" t="s">
        <v>2194</v>
      </c>
      <c r="G363" s="2091" t="s">
        <v>24</v>
      </c>
      <c r="H363" s="2091" t="s">
        <v>24</v>
      </c>
      <c r="I363" s="2091" t="s">
        <v>790</v>
      </c>
    </row>
    <row r="364" spans="1:9" ht="11.25" customHeight="1">
      <c r="A364" s="2091" t="s">
        <v>2181</v>
      </c>
      <c r="B364" s="2091" t="s">
        <v>14</v>
      </c>
      <c r="C364" s="2091" t="s">
        <v>24</v>
      </c>
      <c r="D364" s="2091" t="s">
        <v>2406</v>
      </c>
      <c r="E364" s="2091" t="s">
        <v>2407</v>
      </c>
      <c r="F364" s="2091" t="s">
        <v>2293</v>
      </c>
      <c r="G364" s="2091" t="s">
        <v>24</v>
      </c>
      <c r="H364" s="2091" t="s">
        <v>24</v>
      </c>
      <c r="I364" s="2091" t="s">
        <v>790</v>
      </c>
    </row>
    <row r="365" spans="1:9" ht="11.25" customHeight="1">
      <c r="A365" s="2091" t="s">
        <v>2181</v>
      </c>
      <c r="B365" s="2091" t="s">
        <v>14</v>
      </c>
      <c r="C365" s="2091" t="s">
        <v>2411</v>
      </c>
      <c r="D365" s="2091" t="s">
        <v>2412</v>
      </c>
      <c r="E365" s="2091" t="s">
        <v>2413</v>
      </c>
      <c r="F365" s="2091" t="s">
        <v>2218</v>
      </c>
      <c r="G365" s="2091" t="s">
        <v>24</v>
      </c>
      <c r="H365" s="2091" t="s">
        <v>24</v>
      </c>
      <c r="I365" s="2091" t="s">
        <v>790</v>
      </c>
    </row>
    <row r="366" spans="1:9" ht="11.25" customHeight="1">
      <c r="A366" s="2091" t="s">
        <v>2181</v>
      </c>
      <c r="B366" s="2091" t="s">
        <v>14</v>
      </c>
      <c r="C366" s="2091" t="s">
        <v>2421</v>
      </c>
      <c r="D366" s="2091" t="s">
        <v>2422</v>
      </c>
      <c r="E366" s="2091" t="s">
        <v>2423</v>
      </c>
      <c r="F366" s="2091" t="s">
        <v>2424</v>
      </c>
      <c r="G366" s="2091" t="s">
        <v>2425</v>
      </c>
      <c r="H366" s="2091" t="s">
        <v>24</v>
      </c>
      <c r="I366" s="2091" t="s">
        <v>790</v>
      </c>
    </row>
    <row r="367" spans="1:9" ht="11.25" customHeight="1">
      <c r="A367" s="2091" t="s">
        <v>2181</v>
      </c>
      <c r="B367" s="2091" t="s">
        <v>14</v>
      </c>
      <c r="C367" s="2091" t="s">
        <v>2426</v>
      </c>
      <c r="D367" s="2091" t="s">
        <v>2427</v>
      </c>
      <c r="E367" s="2091" t="s">
        <v>2428</v>
      </c>
      <c r="F367" s="2091" t="s">
        <v>2429</v>
      </c>
      <c r="G367" s="2091" t="s">
        <v>24</v>
      </c>
      <c r="H367" s="2091" t="s">
        <v>24</v>
      </c>
      <c r="I367" s="2091" t="s">
        <v>790</v>
      </c>
    </row>
    <row r="368" spans="1:9" ht="11.25" customHeight="1">
      <c r="A368" s="2091" t="s">
        <v>2181</v>
      </c>
      <c r="B368" s="2091" t="s">
        <v>14</v>
      </c>
      <c r="C368" s="2091" t="s">
        <v>2430</v>
      </c>
      <c r="D368" s="2091" t="s">
        <v>2431</v>
      </c>
      <c r="E368" s="2091" t="s">
        <v>2432</v>
      </c>
      <c r="F368" s="2091" t="s">
        <v>2433</v>
      </c>
      <c r="G368" s="2091" t="s">
        <v>2434</v>
      </c>
      <c r="H368" s="2091" t="s">
        <v>24</v>
      </c>
      <c r="I368" s="2091" t="s">
        <v>790</v>
      </c>
    </row>
    <row r="369" spans="1:9" ht="11.25" customHeight="1">
      <c r="A369" s="2091" t="s">
        <v>2181</v>
      </c>
      <c r="B369" s="2091" t="s">
        <v>14</v>
      </c>
      <c r="C369" s="2091" t="s">
        <v>2435</v>
      </c>
      <c r="D369" s="2091" t="s">
        <v>2436</v>
      </c>
      <c r="E369" s="2091" t="s">
        <v>2437</v>
      </c>
      <c r="F369" s="2091" t="s">
        <v>2438</v>
      </c>
      <c r="G369" s="2091" t="s">
        <v>2439</v>
      </c>
      <c r="H369" s="2091" t="s">
        <v>24</v>
      </c>
      <c r="I369" s="2091" t="s">
        <v>790</v>
      </c>
    </row>
    <row r="370" spans="1:9" ht="11.25" customHeight="1">
      <c r="A370" s="2091" t="s">
        <v>2181</v>
      </c>
      <c r="B370" s="2091" t="s">
        <v>14</v>
      </c>
      <c r="C370" s="2091" t="s">
        <v>2440</v>
      </c>
      <c r="D370" s="2091" t="s">
        <v>2441</v>
      </c>
      <c r="E370" s="2091" t="s">
        <v>2442</v>
      </c>
      <c r="F370" s="2091" t="s">
        <v>2443</v>
      </c>
      <c r="G370" s="2091" t="s">
        <v>2444</v>
      </c>
      <c r="H370" s="2091" t="s">
        <v>24</v>
      </c>
      <c r="I370" s="2091" t="s">
        <v>790</v>
      </c>
    </row>
    <row r="371" spans="1:9" ht="11.25" customHeight="1">
      <c r="A371" s="2091" t="s">
        <v>2181</v>
      </c>
      <c r="B371" s="2091" t="s">
        <v>14</v>
      </c>
      <c r="C371" s="2091" t="s">
        <v>2448</v>
      </c>
      <c r="D371" s="2091" t="s">
        <v>2449</v>
      </c>
      <c r="E371" s="2091" t="s">
        <v>2450</v>
      </c>
      <c r="F371" s="2091" t="s">
        <v>2451</v>
      </c>
      <c r="G371" s="2091" t="s">
        <v>24</v>
      </c>
      <c r="H371" s="2091" t="s">
        <v>24</v>
      </c>
      <c r="I371" s="2091" t="s">
        <v>790</v>
      </c>
    </row>
    <row r="372" spans="1:9" ht="11.25" customHeight="1">
      <c r="A372" s="2091" t="s">
        <v>2181</v>
      </c>
      <c r="B372" s="2091" t="s">
        <v>14</v>
      </c>
      <c r="C372" s="2091" t="s">
        <v>2452</v>
      </c>
      <c r="D372" s="2091" t="s">
        <v>2453</v>
      </c>
      <c r="E372" s="2091" t="s">
        <v>2454</v>
      </c>
      <c r="F372" s="2091" t="s">
        <v>2455</v>
      </c>
      <c r="G372" s="2091" t="s">
        <v>24</v>
      </c>
      <c r="H372" s="2091" t="s">
        <v>24</v>
      </c>
      <c r="I372" s="2091" t="s">
        <v>790</v>
      </c>
    </row>
    <row r="373" spans="1:9" ht="11.25" customHeight="1">
      <c r="A373" s="2091" t="s">
        <v>2181</v>
      </c>
      <c r="B373" s="2091" t="s">
        <v>14</v>
      </c>
      <c r="C373" s="2091" t="s">
        <v>2456</v>
      </c>
      <c r="D373" s="2091" t="s">
        <v>2457</v>
      </c>
      <c r="E373" s="2091" t="s">
        <v>2458</v>
      </c>
      <c r="F373" s="2091" t="s">
        <v>2343</v>
      </c>
      <c r="G373" s="2091" t="s">
        <v>2459</v>
      </c>
      <c r="H373" s="2091" t="s">
        <v>24</v>
      </c>
      <c r="I373" s="2091" t="s">
        <v>790</v>
      </c>
    </row>
    <row r="374" spans="1:9" ht="11.25" customHeight="1">
      <c r="A374" s="2091" t="s">
        <v>2181</v>
      </c>
      <c r="B374" s="2091" t="s">
        <v>14</v>
      </c>
      <c r="C374" s="2091" t="s">
        <v>2465</v>
      </c>
      <c r="D374" s="2091" t="s">
        <v>2466</v>
      </c>
      <c r="E374" s="2091" t="s">
        <v>2467</v>
      </c>
      <c r="F374" s="2091" t="s">
        <v>2468</v>
      </c>
      <c r="G374" s="2091" t="s">
        <v>2469</v>
      </c>
      <c r="H374" s="2091" t="s">
        <v>24</v>
      </c>
      <c r="I374" s="2091" t="s">
        <v>790</v>
      </c>
    </row>
    <row r="375" spans="1:9" ht="11.25" customHeight="1">
      <c r="A375" s="2091" t="s">
        <v>2181</v>
      </c>
      <c r="B375" s="2091" t="s">
        <v>14</v>
      </c>
      <c r="C375" s="2091" t="s">
        <v>2470</v>
      </c>
      <c r="D375" s="2091" t="s">
        <v>2471</v>
      </c>
      <c r="E375" s="2091" t="s">
        <v>2472</v>
      </c>
      <c r="F375" s="2091" t="s">
        <v>2361</v>
      </c>
      <c r="G375" s="2091" t="s">
        <v>24</v>
      </c>
      <c r="H375" s="2091" t="s">
        <v>24</v>
      </c>
      <c r="I375" s="2091" t="s">
        <v>790</v>
      </c>
    </row>
    <row r="376" spans="1:9" ht="11.25" customHeight="1">
      <c r="A376" s="2091" t="s">
        <v>2181</v>
      </c>
      <c r="B376" s="2091" t="s">
        <v>14</v>
      </c>
      <c r="C376" s="2091" t="s">
        <v>2473</v>
      </c>
      <c r="D376" s="2091" t="s">
        <v>2474</v>
      </c>
      <c r="E376" s="2091" t="s">
        <v>2475</v>
      </c>
      <c r="F376" s="2091" t="s">
        <v>2226</v>
      </c>
      <c r="G376" s="2091" t="s">
        <v>2476</v>
      </c>
      <c r="H376" s="2091" t="s">
        <v>24</v>
      </c>
      <c r="I376" s="2091" t="s">
        <v>790</v>
      </c>
    </row>
    <row r="377" spans="1:9" ht="11.25" customHeight="1">
      <c r="A377" s="2091" t="s">
        <v>2181</v>
      </c>
      <c r="B377" s="2091" t="s">
        <v>14</v>
      </c>
      <c r="C377" s="2091" t="s">
        <v>2481</v>
      </c>
      <c r="D377" s="2091" t="s">
        <v>2482</v>
      </c>
      <c r="E377" s="2091" t="s">
        <v>2483</v>
      </c>
      <c r="F377" s="2091" t="s">
        <v>2250</v>
      </c>
      <c r="G377" s="2091" t="s">
        <v>2484</v>
      </c>
      <c r="H377" s="2091" t="s">
        <v>24</v>
      </c>
      <c r="I377" s="2091" t="s">
        <v>790</v>
      </c>
    </row>
    <row r="378" spans="1:9" ht="11.25" customHeight="1">
      <c r="A378" s="2091" t="s">
        <v>2181</v>
      </c>
      <c r="B378" s="2091" t="s">
        <v>14</v>
      </c>
      <c r="C378" s="2091" t="s">
        <v>2485</v>
      </c>
      <c r="D378" s="2091" t="s">
        <v>2486</v>
      </c>
      <c r="E378" s="2091" t="s">
        <v>2487</v>
      </c>
      <c r="F378" s="2091" t="s">
        <v>2329</v>
      </c>
      <c r="G378" s="2091" t="s">
        <v>2488</v>
      </c>
      <c r="H378" s="2091" t="s">
        <v>24</v>
      </c>
      <c r="I378" s="2091" t="s">
        <v>790</v>
      </c>
    </row>
    <row r="379" spans="1:9" ht="11.25" customHeight="1">
      <c r="A379" s="2091" t="s">
        <v>2181</v>
      </c>
      <c r="B379" s="2091" t="s">
        <v>14</v>
      </c>
      <c r="C379" s="2091" t="s">
        <v>2489</v>
      </c>
      <c r="D379" s="2091" t="s">
        <v>2490</v>
      </c>
      <c r="E379" s="2091" t="s">
        <v>2491</v>
      </c>
      <c r="F379" s="2091" t="s">
        <v>2492</v>
      </c>
      <c r="G379" s="2091" t="s">
        <v>2493</v>
      </c>
      <c r="H379" s="2091" t="s">
        <v>24</v>
      </c>
      <c r="I379" s="2091" t="s">
        <v>790</v>
      </c>
    </row>
    <row r="380" spans="1:9" ht="11.25" customHeight="1">
      <c r="A380" s="2091" t="s">
        <v>2181</v>
      </c>
      <c r="B380" s="2091" t="s">
        <v>14</v>
      </c>
      <c r="C380" s="2091" t="s">
        <v>2494</v>
      </c>
      <c r="D380" s="2091" t="s">
        <v>2495</v>
      </c>
      <c r="E380" s="2091" t="s">
        <v>2496</v>
      </c>
      <c r="F380" s="2091" t="s">
        <v>2361</v>
      </c>
      <c r="G380" s="2091" t="s">
        <v>24</v>
      </c>
      <c r="H380" s="2091" t="s">
        <v>24</v>
      </c>
      <c r="I380" s="2091" t="s">
        <v>790</v>
      </c>
    </row>
    <row r="381" spans="1:9" ht="11.25" customHeight="1">
      <c r="A381" s="2091" t="s">
        <v>2181</v>
      </c>
      <c r="B381" s="2091" t="s">
        <v>14</v>
      </c>
      <c r="C381" s="2091" t="s">
        <v>2497</v>
      </c>
      <c r="D381" s="2091" t="s">
        <v>2498</v>
      </c>
      <c r="E381" s="2091" t="s">
        <v>2499</v>
      </c>
      <c r="F381" s="2091" t="s">
        <v>2500</v>
      </c>
      <c r="G381" s="2091" t="s">
        <v>2501</v>
      </c>
      <c r="H381" s="2091" t="s">
        <v>24</v>
      </c>
      <c r="I381" s="2091" t="s">
        <v>790</v>
      </c>
    </row>
    <row r="382" spans="1:9" ht="11.25" customHeight="1">
      <c r="A382" s="2091" t="s">
        <v>2181</v>
      </c>
      <c r="B382" s="2091" t="s">
        <v>14</v>
      </c>
      <c r="C382" s="2091" t="s">
        <v>2506</v>
      </c>
      <c r="D382" s="2091" t="s">
        <v>2507</v>
      </c>
      <c r="E382" s="2091" t="s">
        <v>2508</v>
      </c>
      <c r="F382" s="2091" t="s">
        <v>2317</v>
      </c>
      <c r="G382" s="2091" t="s">
        <v>24</v>
      </c>
      <c r="H382" s="2091" t="s">
        <v>24</v>
      </c>
      <c r="I382" s="2091" t="s">
        <v>790</v>
      </c>
    </row>
    <row r="383" spans="1:9" ht="11.25" customHeight="1">
      <c r="A383" s="2091" t="s">
        <v>2181</v>
      </c>
      <c r="B383" s="2091" t="s">
        <v>14</v>
      </c>
      <c r="C383" s="2091" t="s">
        <v>2517</v>
      </c>
      <c r="D383" s="2091" t="s">
        <v>2518</v>
      </c>
      <c r="E383" s="2091" t="s">
        <v>2519</v>
      </c>
      <c r="F383" s="2091" t="s">
        <v>2455</v>
      </c>
      <c r="G383" s="2091" t="s">
        <v>2520</v>
      </c>
      <c r="H383" s="2091" t="s">
        <v>24</v>
      </c>
      <c r="I383" s="2091" t="s">
        <v>790</v>
      </c>
    </row>
    <row r="384" spans="1:9" ht="11.25" customHeight="1">
      <c r="A384" s="2091" t="s">
        <v>2181</v>
      </c>
      <c r="B384" s="2091" t="s">
        <v>14</v>
      </c>
      <c r="C384" s="2091" t="s">
        <v>2521</v>
      </c>
      <c r="D384" s="2091" t="s">
        <v>2522</v>
      </c>
      <c r="E384" s="2091" t="s">
        <v>2523</v>
      </c>
      <c r="F384" s="2091" t="s">
        <v>2492</v>
      </c>
      <c r="G384" s="2091" t="s">
        <v>24</v>
      </c>
      <c r="H384" s="2091" t="s">
        <v>24</v>
      </c>
      <c r="I384" s="2091" t="s">
        <v>790</v>
      </c>
    </row>
    <row r="385" spans="1:9" ht="11.25" customHeight="1">
      <c r="A385" s="2091" t="s">
        <v>2181</v>
      </c>
      <c r="B385" s="2091" t="s">
        <v>14</v>
      </c>
      <c r="C385" s="2091" t="s">
        <v>2528</v>
      </c>
      <c r="D385" s="2091" t="s">
        <v>2529</v>
      </c>
      <c r="E385" s="2091" t="s">
        <v>2530</v>
      </c>
      <c r="F385" s="2091" t="s">
        <v>2250</v>
      </c>
      <c r="G385" s="2091" t="s">
        <v>2531</v>
      </c>
      <c r="H385" s="2091" t="s">
        <v>24</v>
      </c>
      <c r="I385" s="2091" t="s">
        <v>790</v>
      </c>
    </row>
    <row r="386" spans="1:9" ht="11.25" customHeight="1">
      <c r="A386" s="2091" t="s">
        <v>2181</v>
      </c>
      <c r="B386" s="2091" t="s">
        <v>14</v>
      </c>
      <c r="C386" s="2091" t="s">
        <v>2536</v>
      </c>
      <c r="D386" s="2091" t="s">
        <v>2537</v>
      </c>
      <c r="E386" s="2091" t="s">
        <v>2538</v>
      </c>
      <c r="F386" s="2091" t="s">
        <v>2343</v>
      </c>
      <c r="G386" s="2091" t="s">
        <v>24</v>
      </c>
      <c r="H386" s="2091" t="s">
        <v>24</v>
      </c>
      <c r="I386" s="2091" t="s">
        <v>790</v>
      </c>
    </row>
    <row r="387" spans="1:9" ht="11.25" customHeight="1">
      <c r="A387" s="2091" t="s">
        <v>2181</v>
      </c>
      <c r="B387" s="2091" t="s">
        <v>14</v>
      </c>
      <c r="C387" s="2091" t="s">
        <v>2539</v>
      </c>
      <c r="D387" s="2091" t="s">
        <v>2540</v>
      </c>
      <c r="E387" s="2091" t="s">
        <v>2541</v>
      </c>
      <c r="F387" s="2091" t="s">
        <v>2451</v>
      </c>
      <c r="G387" s="2091" t="s">
        <v>24</v>
      </c>
      <c r="H387" s="2091" t="s">
        <v>24</v>
      </c>
      <c r="I387" s="2091" t="s">
        <v>790</v>
      </c>
    </row>
    <row r="388" spans="1:9" ht="11.25" customHeight="1">
      <c r="A388" s="2091" t="s">
        <v>2181</v>
      </c>
      <c r="B388" s="2091" t="s">
        <v>14</v>
      </c>
      <c r="C388" s="2091" t="s">
        <v>2548</v>
      </c>
      <c r="D388" s="2091" t="s">
        <v>2549</v>
      </c>
      <c r="E388" s="2091" t="s">
        <v>2550</v>
      </c>
      <c r="F388" s="2091" t="s">
        <v>2455</v>
      </c>
      <c r="G388" s="2091" t="s">
        <v>2551</v>
      </c>
      <c r="H388" s="2091" t="s">
        <v>24</v>
      </c>
      <c r="I388" s="2091" t="s">
        <v>790</v>
      </c>
    </row>
    <row r="389" spans="1:9" ht="11.25" customHeight="1">
      <c r="A389" s="2091" t="s">
        <v>2181</v>
      </c>
      <c r="B389" s="2091" t="s">
        <v>14</v>
      </c>
      <c r="C389" s="2091" t="s">
        <v>2552</v>
      </c>
      <c r="D389" s="2091" t="s">
        <v>2553</v>
      </c>
      <c r="E389" s="2091" t="s">
        <v>2554</v>
      </c>
      <c r="F389" s="2091" t="s">
        <v>2325</v>
      </c>
      <c r="G389" s="2091" t="s">
        <v>2555</v>
      </c>
      <c r="H389" s="2091" t="s">
        <v>24</v>
      </c>
      <c r="I389" s="2091" t="s">
        <v>790</v>
      </c>
    </row>
    <row r="390" spans="1:9" ht="11.25" customHeight="1">
      <c r="A390" s="2091" t="s">
        <v>2181</v>
      </c>
      <c r="B390" s="2091" t="s">
        <v>14</v>
      </c>
      <c r="C390" s="2091" t="s">
        <v>2556</v>
      </c>
      <c r="D390" s="2091" t="s">
        <v>2557</v>
      </c>
      <c r="E390" s="2091" t="s">
        <v>2558</v>
      </c>
      <c r="F390" s="2091" t="s">
        <v>2317</v>
      </c>
      <c r="G390" s="2091" t="s">
        <v>2559</v>
      </c>
      <c r="H390" s="2091" t="s">
        <v>24</v>
      </c>
      <c r="I390" s="2091" t="s">
        <v>790</v>
      </c>
    </row>
    <row r="391" spans="1:9" ht="11.25" customHeight="1">
      <c r="A391" s="2091" t="s">
        <v>2181</v>
      </c>
      <c r="B391" s="2091" t="s">
        <v>14</v>
      </c>
      <c r="C391" s="2091" t="s">
        <v>2564</v>
      </c>
      <c r="D391" s="2091" t="s">
        <v>2565</v>
      </c>
      <c r="E391" s="2091" t="s">
        <v>2566</v>
      </c>
      <c r="F391" s="2091" t="s">
        <v>2463</v>
      </c>
      <c r="G391" s="2091" t="s">
        <v>24</v>
      </c>
      <c r="H391" s="2091" t="s">
        <v>24</v>
      </c>
      <c r="I391" s="2091" t="s">
        <v>790</v>
      </c>
    </row>
    <row r="392" spans="1:9" ht="11.25" customHeight="1">
      <c r="A392" s="2091" t="s">
        <v>2181</v>
      </c>
      <c r="B392" s="2091" t="s">
        <v>14</v>
      </c>
      <c r="C392" s="2091" t="s">
        <v>2567</v>
      </c>
      <c r="D392" s="2091" t="s">
        <v>2568</v>
      </c>
      <c r="E392" s="2091" t="s">
        <v>2569</v>
      </c>
      <c r="F392" s="2091" t="s">
        <v>2570</v>
      </c>
      <c r="G392" s="2091" t="s">
        <v>24</v>
      </c>
      <c r="H392" s="2091" t="s">
        <v>24</v>
      </c>
      <c r="I392" s="2091" t="s">
        <v>790</v>
      </c>
    </row>
    <row r="393" spans="1:9" ht="11.25" customHeight="1">
      <c r="A393" s="2091" t="s">
        <v>2181</v>
      </c>
      <c r="B393" s="2091" t="s">
        <v>14</v>
      </c>
      <c r="C393" s="2091" t="s">
        <v>2571</v>
      </c>
      <c r="D393" s="2091" t="s">
        <v>2572</v>
      </c>
      <c r="E393" s="2091" t="s">
        <v>2573</v>
      </c>
      <c r="F393" s="2091" t="s">
        <v>2226</v>
      </c>
      <c r="G393" s="2091" t="s">
        <v>2574</v>
      </c>
      <c r="H393" s="2091" t="s">
        <v>24</v>
      </c>
      <c r="I393" s="2091" t="s">
        <v>790</v>
      </c>
    </row>
    <row r="394" spans="1:9" ht="11.25" customHeight="1">
      <c r="A394" s="2091" t="s">
        <v>2181</v>
      </c>
      <c r="B394" s="2091" t="s">
        <v>14</v>
      </c>
      <c r="C394" s="2091" t="s">
        <v>2575</v>
      </c>
      <c r="D394" s="2091" t="s">
        <v>2576</v>
      </c>
      <c r="E394" s="2091" t="s">
        <v>2577</v>
      </c>
      <c r="F394" s="2091" t="s">
        <v>2578</v>
      </c>
      <c r="G394" s="2091" t="s">
        <v>24</v>
      </c>
      <c r="H394" s="2091" t="s">
        <v>24</v>
      </c>
      <c r="I394" s="2091" t="s">
        <v>790</v>
      </c>
    </row>
    <row r="395" spans="1:9" ht="11.25" customHeight="1">
      <c r="A395" s="2091" t="s">
        <v>2181</v>
      </c>
      <c r="B395" s="2091" t="s">
        <v>14</v>
      </c>
      <c r="C395" s="2091" t="s">
        <v>2579</v>
      </c>
      <c r="D395" s="2091" t="s">
        <v>2580</v>
      </c>
      <c r="E395" s="2091" t="s">
        <v>2581</v>
      </c>
      <c r="F395" s="2091" t="s">
        <v>2512</v>
      </c>
      <c r="G395" s="2091" t="s">
        <v>2582</v>
      </c>
      <c r="H395" s="2091" t="s">
        <v>24</v>
      </c>
      <c r="I395" s="2091" t="s">
        <v>790</v>
      </c>
    </row>
    <row r="396" spans="1:9" ht="11.25" customHeight="1">
      <c r="A396" s="2091" t="s">
        <v>2181</v>
      </c>
      <c r="B396" s="2091" t="s">
        <v>14</v>
      </c>
      <c r="C396" s="2091" t="s">
        <v>2586</v>
      </c>
      <c r="D396" s="2091" t="s">
        <v>2587</v>
      </c>
      <c r="E396" s="2091" t="s">
        <v>2588</v>
      </c>
      <c r="F396" s="2091" t="s">
        <v>2372</v>
      </c>
      <c r="G396" s="2091" t="s">
        <v>24</v>
      </c>
      <c r="H396" s="2091" t="s">
        <v>2589</v>
      </c>
      <c r="I396" s="2091" t="s">
        <v>790</v>
      </c>
    </row>
    <row r="397" spans="1:9" ht="11.25" customHeight="1">
      <c r="A397" s="2091" t="s">
        <v>2181</v>
      </c>
      <c r="B397" s="2091" t="s">
        <v>14</v>
      </c>
      <c r="C397" s="2091" t="s">
        <v>2590</v>
      </c>
      <c r="D397" s="2091" t="s">
        <v>2591</v>
      </c>
      <c r="E397" s="2091" t="s">
        <v>2592</v>
      </c>
      <c r="F397" s="2091" t="s">
        <v>2492</v>
      </c>
      <c r="G397" s="2091" t="s">
        <v>2593</v>
      </c>
      <c r="H397" s="2091" t="s">
        <v>24</v>
      </c>
      <c r="I397" s="2091" t="s">
        <v>790</v>
      </c>
    </row>
    <row r="398" spans="1:9" ht="11.25" customHeight="1">
      <c r="A398" s="2091" t="s">
        <v>2181</v>
      </c>
      <c r="B398" s="2091" t="s">
        <v>14</v>
      </c>
      <c r="C398" s="2091" t="s">
        <v>2594</v>
      </c>
      <c r="D398" s="2091" t="s">
        <v>2595</v>
      </c>
      <c r="E398" s="2091" t="s">
        <v>2596</v>
      </c>
      <c r="F398" s="2091" t="s">
        <v>2492</v>
      </c>
      <c r="G398" s="2091" t="s">
        <v>2597</v>
      </c>
      <c r="H398" s="2091" t="s">
        <v>24</v>
      </c>
      <c r="I398" s="2091" t="s">
        <v>790</v>
      </c>
    </row>
    <row r="399" spans="1:9" ht="11.25" customHeight="1">
      <c r="A399" s="2091" t="s">
        <v>2181</v>
      </c>
      <c r="B399" s="2091" t="s">
        <v>14</v>
      </c>
      <c r="C399" s="2091" t="s">
        <v>2602</v>
      </c>
      <c r="D399" s="2091" t="s">
        <v>2603</v>
      </c>
      <c r="E399" s="2091" t="s">
        <v>2604</v>
      </c>
      <c r="F399" s="2091" t="s">
        <v>2605</v>
      </c>
      <c r="G399" s="2091" t="s">
        <v>2606</v>
      </c>
      <c r="H399" s="2091" t="s">
        <v>24</v>
      </c>
      <c r="I399" s="2091" t="s">
        <v>790</v>
      </c>
    </row>
    <row r="400" spans="1:9" ht="11.25" customHeight="1">
      <c r="A400" s="2091" t="s">
        <v>2181</v>
      </c>
      <c r="B400" s="2091" t="s">
        <v>14</v>
      </c>
      <c r="C400" s="2091" t="s">
        <v>3352</v>
      </c>
      <c r="D400" s="2091" t="s">
        <v>3353</v>
      </c>
      <c r="E400" s="2091" t="s">
        <v>3354</v>
      </c>
      <c r="F400" s="2091" t="s">
        <v>3355</v>
      </c>
      <c r="G400" s="2091" t="s">
        <v>3356</v>
      </c>
      <c r="H400" s="2091" t="s">
        <v>24</v>
      </c>
      <c r="I400" s="2091" t="s">
        <v>790</v>
      </c>
    </row>
    <row r="401" spans="1:9" ht="11.25" customHeight="1">
      <c r="A401" s="2091" t="s">
        <v>2181</v>
      </c>
      <c r="B401" s="2091" t="s">
        <v>14</v>
      </c>
      <c r="C401" s="2091" t="s">
        <v>3357</v>
      </c>
      <c r="D401" s="2091" t="s">
        <v>3358</v>
      </c>
      <c r="E401" s="2091" t="s">
        <v>3359</v>
      </c>
      <c r="F401" s="2091" t="s">
        <v>2334</v>
      </c>
      <c r="G401" s="2091" t="s">
        <v>3360</v>
      </c>
      <c r="H401" s="2091" t="s">
        <v>24</v>
      </c>
      <c r="I401" s="2091" t="s">
        <v>790</v>
      </c>
    </row>
    <row r="402" spans="1:9" ht="11.25" customHeight="1">
      <c r="A402" s="2091" t="s">
        <v>2181</v>
      </c>
      <c r="B402" s="2091" t="s">
        <v>14</v>
      </c>
      <c r="C402" s="2091" t="s">
        <v>2617</v>
      </c>
      <c r="D402" s="2091" t="s">
        <v>2618</v>
      </c>
      <c r="E402" s="2091" t="s">
        <v>2619</v>
      </c>
      <c r="F402" s="2091" t="s">
        <v>2620</v>
      </c>
      <c r="G402" s="2091" t="s">
        <v>2621</v>
      </c>
      <c r="H402" s="2091" t="s">
        <v>24</v>
      </c>
      <c r="I402" s="2091" t="s">
        <v>790</v>
      </c>
    </row>
    <row r="403" spans="1:9" ht="11.25" customHeight="1">
      <c r="A403" s="2091" t="s">
        <v>2181</v>
      </c>
      <c r="B403" s="2091" t="s">
        <v>14</v>
      </c>
      <c r="C403" s="2091" t="s">
        <v>2622</v>
      </c>
      <c r="D403" s="2091" t="s">
        <v>2623</v>
      </c>
      <c r="E403" s="2091" t="s">
        <v>2624</v>
      </c>
      <c r="F403" s="2091" t="s">
        <v>2185</v>
      </c>
      <c r="G403" s="2091" t="s">
        <v>24</v>
      </c>
      <c r="H403" s="2091" t="s">
        <v>24</v>
      </c>
      <c r="I403" s="2091" t="s">
        <v>790</v>
      </c>
    </row>
    <row r="404" spans="1:9" ht="11.25" customHeight="1">
      <c r="A404" s="2091" t="s">
        <v>2181</v>
      </c>
      <c r="B404" s="2091" t="s">
        <v>14</v>
      </c>
      <c r="C404" s="2091" t="s">
        <v>2625</v>
      </c>
      <c r="D404" s="2091" t="s">
        <v>2626</v>
      </c>
      <c r="E404" s="2091" t="s">
        <v>2627</v>
      </c>
      <c r="F404" s="2091" t="s">
        <v>2268</v>
      </c>
      <c r="G404" s="2091" t="s">
        <v>24</v>
      </c>
      <c r="H404" s="2091" t="s">
        <v>24</v>
      </c>
      <c r="I404" s="2091" t="s">
        <v>790</v>
      </c>
    </row>
    <row r="405" spans="1:9" ht="11.25" customHeight="1">
      <c r="A405" s="2091" t="s">
        <v>2181</v>
      </c>
      <c r="B405" s="2091" t="s">
        <v>14</v>
      </c>
      <c r="C405" s="2091" t="s">
        <v>2628</v>
      </c>
      <c r="D405" s="2091" t="s">
        <v>2629</v>
      </c>
      <c r="E405" s="2091" t="s">
        <v>2630</v>
      </c>
      <c r="F405" s="2091" t="s">
        <v>2631</v>
      </c>
      <c r="G405" s="2091" t="s">
        <v>2632</v>
      </c>
      <c r="H405" s="2091" t="s">
        <v>24</v>
      </c>
      <c r="I405" s="2091" t="s">
        <v>790</v>
      </c>
    </row>
    <row r="406" spans="1:9" ht="11.25" customHeight="1">
      <c r="A406" s="2091" t="s">
        <v>2181</v>
      </c>
      <c r="B406" s="2091" t="s">
        <v>14</v>
      </c>
      <c r="C406" s="2091" t="s">
        <v>2633</v>
      </c>
      <c r="D406" s="2091" t="s">
        <v>2634</v>
      </c>
      <c r="E406" s="2091" t="s">
        <v>2635</v>
      </c>
      <c r="F406" s="2091" t="s">
        <v>2361</v>
      </c>
      <c r="G406" s="2091" t="s">
        <v>2636</v>
      </c>
      <c r="H406" s="2091" t="s">
        <v>24</v>
      </c>
      <c r="I406" s="2091" t="s">
        <v>790</v>
      </c>
    </row>
    <row r="407" spans="1:9" ht="11.25" customHeight="1">
      <c r="A407" s="2091" t="s">
        <v>2181</v>
      </c>
      <c r="B407" s="2091" t="s">
        <v>14</v>
      </c>
      <c r="C407" s="2091" t="s">
        <v>2637</v>
      </c>
      <c r="D407" s="2091" t="s">
        <v>2638</v>
      </c>
      <c r="E407" s="2091" t="s">
        <v>2393</v>
      </c>
      <c r="F407" s="2091" t="s">
        <v>2639</v>
      </c>
      <c r="G407" s="2091" t="s">
        <v>2640</v>
      </c>
      <c r="H407" s="2091" t="s">
        <v>24</v>
      </c>
      <c r="I407" s="2091" t="s">
        <v>790</v>
      </c>
    </row>
    <row r="408" spans="1:9" ht="11.25" customHeight="1">
      <c r="A408" s="2091" t="s">
        <v>2181</v>
      </c>
      <c r="B408" s="2091" t="s">
        <v>14</v>
      </c>
      <c r="C408" s="2091" t="s">
        <v>2641</v>
      </c>
      <c r="D408" s="2091" t="s">
        <v>2642</v>
      </c>
      <c r="E408" s="2091" t="s">
        <v>2643</v>
      </c>
      <c r="F408" s="2091" t="s">
        <v>2278</v>
      </c>
      <c r="G408" s="2091" t="s">
        <v>24</v>
      </c>
      <c r="H408" s="2091" t="s">
        <v>24</v>
      </c>
      <c r="I408" s="2091" t="s">
        <v>790</v>
      </c>
    </row>
    <row r="409" spans="1:9" ht="11.25" customHeight="1">
      <c r="A409" s="2091" t="s">
        <v>2181</v>
      </c>
      <c r="B409" s="2091" t="s">
        <v>14</v>
      </c>
      <c r="C409" s="2091" t="s">
        <v>2644</v>
      </c>
      <c r="D409" s="2091" t="s">
        <v>2645</v>
      </c>
      <c r="E409" s="2091" t="s">
        <v>2646</v>
      </c>
      <c r="F409" s="2091" t="s">
        <v>2429</v>
      </c>
      <c r="G409" s="2091" t="s">
        <v>2647</v>
      </c>
      <c r="H409" s="2091" t="s">
        <v>2648</v>
      </c>
      <c r="I409" s="2091" t="s">
        <v>790</v>
      </c>
    </row>
    <row r="410" spans="1:9" ht="11.25" customHeight="1">
      <c r="A410" s="2091" t="s">
        <v>2181</v>
      </c>
      <c r="B410" s="2091" t="s">
        <v>14</v>
      </c>
      <c r="C410" s="2091" t="s">
        <v>2649</v>
      </c>
      <c r="D410" s="2091" t="s">
        <v>2650</v>
      </c>
      <c r="E410" s="2091" t="s">
        <v>2651</v>
      </c>
      <c r="F410" s="2091" t="s">
        <v>2250</v>
      </c>
      <c r="G410" s="2091" t="s">
        <v>24</v>
      </c>
      <c r="H410" s="2091" t="s">
        <v>24</v>
      </c>
      <c r="I410" s="2091" t="s">
        <v>790</v>
      </c>
    </row>
    <row r="411" spans="1:9" ht="11.25" customHeight="1">
      <c r="A411" s="2091" t="s">
        <v>2181</v>
      </c>
      <c r="B411" s="2091" t="s">
        <v>14</v>
      </c>
      <c r="C411" s="2091" t="s">
        <v>2652</v>
      </c>
      <c r="D411" s="2091" t="s">
        <v>2653</v>
      </c>
      <c r="E411" s="2091" t="s">
        <v>2654</v>
      </c>
      <c r="F411" s="2091" t="s">
        <v>2383</v>
      </c>
      <c r="G411" s="2091" t="s">
        <v>24</v>
      </c>
      <c r="H411" s="2091" t="s">
        <v>24</v>
      </c>
      <c r="I411" s="2091" t="s">
        <v>790</v>
      </c>
    </row>
    <row r="412" spans="1:9" ht="11.25" customHeight="1">
      <c r="A412" s="2091" t="s">
        <v>2181</v>
      </c>
      <c r="B412" s="2091" t="s">
        <v>14</v>
      </c>
      <c r="C412" s="2091" t="s">
        <v>2655</v>
      </c>
      <c r="D412" s="2091" t="s">
        <v>2656</v>
      </c>
      <c r="E412" s="2091" t="s">
        <v>2657</v>
      </c>
      <c r="F412" s="2091" t="s">
        <v>2260</v>
      </c>
      <c r="G412" s="2091" t="s">
        <v>2658</v>
      </c>
      <c r="H412" s="2091" t="s">
        <v>24</v>
      </c>
      <c r="I412" s="2091" t="s">
        <v>790</v>
      </c>
    </row>
    <row r="413" spans="1:9" ht="11.25" customHeight="1">
      <c r="A413" s="2091" t="s">
        <v>2181</v>
      </c>
      <c r="B413" s="2091" t="s">
        <v>14</v>
      </c>
      <c r="C413" s="2091" t="s">
        <v>2659</v>
      </c>
      <c r="D413" s="2091" t="s">
        <v>2660</v>
      </c>
      <c r="E413" s="2091" t="s">
        <v>2661</v>
      </c>
      <c r="F413" s="2091" t="s">
        <v>2317</v>
      </c>
      <c r="G413" s="2091" t="s">
        <v>2662</v>
      </c>
      <c r="H413" s="2091" t="s">
        <v>24</v>
      </c>
      <c r="I413" s="2091" t="s">
        <v>790</v>
      </c>
    </row>
    <row r="414" spans="1:9" ht="11.25" customHeight="1">
      <c r="A414" s="2091" t="s">
        <v>2181</v>
      </c>
      <c r="B414" s="2091" t="s">
        <v>14</v>
      </c>
      <c r="C414" s="2091" t="s">
        <v>2666</v>
      </c>
      <c r="D414" s="2091" t="s">
        <v>2667</v>
      </c>
      <c r="E414" s="2091" t="s">
        <v>2668</v>
      </c>
      <c r="F414" s="2091" t="s">
        <v>2194</v>
      </c>
      <c r="G414" s="2091" t="s">
        <v>24</v>
      </c>
      <c r="H414" s="2091" t="s">
        <v>24</v>
      </c>
      <c r="I414" s="2091" t="s">
        <v>790</v>
      </c>
    </row>
    <row r="415" spans="1:9" ht="11.25" customHeight="1">
      <c r="A415" s="2091" t="s">
        <v>2181</v>
      </c>
      <c r="B415" s="2091" t="s">
        <v>14</v>
      </c>
      <c r="C415" s="2091" t="s">
        <v>2672</v>
      </c>
      <c r="D415" s="2091" t="s">
        <v>2673</v>
      </c>
      <c r="E415" s="2091" t="s">
        <v>2674</v>
      </c>
      <c r="F415" s="2091" t="s">
        <v>2255</v>
      </c>
      <c r="G415" s="2091" t="s">
        <v>2675</v>
      </c>
      <c r="H415" s="2091" t="s">
        <v>24</v>
      </c>
      <c r="I415" s="2091" t="s">
        <v>790</v>
      </c>
    </row>
    <row r="416" spans="1:9" ht="11.25" customHeight="1">
      <c r="A416" s="2091" t="s">
        <v>2181</v>
      </c>
      <c r="B416" s="2091" t="s">
        <v>14</v>
      </c>
      <c r="C416" s="2091" t="s">
        <v>2676</v>
      </c>
      <c r="D416" s="2091" t="s">
        <v>2677</v>
      </c>
      <c r="E416" s="2091" t="s">
        <v>2678</v>
      </c>
      <c r="F416" s="2091" t="s">
        <v>2679</v>
      </c>
      <c r="G416" s="2091" t="s">
        <v>24</v>
      </c>
      <c r="H416" s="2091" t="s">
        <v>24</v>
      </c>
      <c r="I416" s="2091" t="s">
        <v>790</v>
      </c>
    </row>
    <row r="417" spans="1:9" ht="11.25" customHeight="1">
      <c r="A417" s="2091" t="s">
        <v>2181</v>
      </c>
      <c r="B417" s="2091" t="s">
        <v>14</v>
      </c>
      <c r="C417" s="2091" t="s">
        <v>2680</v>
      </c>
      <c r="D417" s="2091" t="s">
        <v>2681</v>
      </c>
      <c r="E417" s="2091" t="s">
        <v>2682</v>
      </c>
      <c r="F417" s="2091" t="s">
        <v>2683</v>
      </c>
      <c r="G417" s="2091" t="s">
        <v>24</v>
      </c>
      <c r="H417" s="2091" t="s">
        <v>24</v>
      </c>
      <c r="I417" s="2091" t="s">
        <v>790</v>
      </c>
    </row>
    <row r="418" spans="1:9" ht="11.25" customHeight="1">
      <c r="A418" s="2091" t="s">
        <v>2181</v>
      </c>
      <c r="B418" s="2091" t="s">
        <v>14</v>
      </c>
      <c r="C418" s="2091" t="s">
        <v>2690</v>
      </c>
      <c r="D418" s="2091" t="s">
        <v>2691</v>
      </c>
      <c r="E418" s="2091" t="s">
        <v>2692</v>
      </c>
      <c r="F418" s="2091" t="s">
        <v>2334</v>
      </c>
      <c r="G418" s="2091" t="s">
        <v>24</v>
      </c>
      <c r="H418" s="2091" t="s">
        <v>24</v>
      </c>
      <c r="I418" s="2091" t="s">
        <v>790</v>
      </c>
    </row>
    <row r="419" spans="1:9" ht="11.25" customHeight="1">
      <c r="A419" s="2091" t="s">
        <v>2181</v>
      </c>
      <c r="B419" s="2091" t="s">
        <v>14</v>
      </c>
      <c r="C419" s="2091" t="s">
        <v>2696</v>
      </c>
      <c r="D419" s="2091" t="s">
        <v>2697</v>
      </c>
      <c r="E419" s="2091" t="s">
        <v>2698</v>
      </c>
      <c r="F419" s="2091" t="s">
        <v>2343</v>
      </c>
      <c r="G419" s="2091" t="s">
        <v>2699</v>
      </c>
      <c r="H419" s="2091" t="s">
        <v>24</v>
      </c>
      <c r="I419" s="2091" t="s">
        <v>790</v>
      </c>
    </row>
    <row r="420" spans="1:9" ht="11.25" customHeight="1">
      <c r="A420" s="2091" t="s">
        <v>2181</v>
      </c>
      <c r="B420" s="2091" t="s">
        <v>14</v>
      </c>
      <c r="C420" s="2091" t="s">
        <v>2706</v>
      </c>
      <c r="D420" s="2091" t="s">
        <v>2707</v>
      </c>
      <c r="E420" s="2091" t="s">
        <v>2708</v>
      </c>
      <c r="F420" s="2091" t="s">
        <v>2709</v>
      </c>
      <c r="G420" s="2091" t="s">
        <v>24</v>
      </c>
      <c r="H420" s="2091" t="s">
        <v>24</v>
      </c>
      <c r="I420" s="2091" t="s">
        <v>790</v>
      </c>
    </row>
    <row r="421" spans="1:9" ht="11.25" customHeight="1">
      <c r="A421" s="2091" t="s">
        <v>2181</v>
      </c>
      <c r="B421" s="2091" t="s">
        <v>14</v>
      </c>
      <c r="C421" s="2091" t="s">
        <v>2710</v>
      </c>
      <c r="D421" s="2091" t="s">
        <v>2711</v>
      </c>
      <c r="E421" s="2091" t="s">
        <v>2712</v>
      </c>
      <c r="F421" s="2091" t="s">
        <v>2317</v>
      </c>
      <c r="G421" s="2091" t="s">
        <v>2713</v>
      </c>
      <c r="H421" s="2091" t="s">
        <v>2714</v>
      </c>
      <c r="I421" s="2091" t="s">
        <v>790</v>
      </c>
    </row>
    <row r="422" spans="1:9" ht="11.25" customHeight="1">
      <c r="A422" s="2091" t="s">
        <v>2181</v>
      </c>
      <c r="B422" s="2091" t="s">
        <v>14</v>
      </c>
      <c r="C422" s="2091" t="s">
        <v>2715</v>
      </c>
      <c r="D422" s="2091" t="s">
        <v>2716</v>
      </c>
      <c r="E422" s="2091" t="s">
        <v>2717</v>
      </c>
      <c r="F422" s="2091" t="s">
        <v>2718</v>
      </c>
      <c r="G422" s="2091" t="s">
        <v>24</v>
      </c>
      <c r="H422" s="2091" t="s">
        <v>24</v>
      </c>
      <c r="I422" s="2091" t="s">
        <v>790</v>
      </c>
    </row>
    <row r="423" spans="1:9" ht="11.25" customHeight="1">
      <c r="A423" s="2091" t="s">
        <v>2181</v>
      </c>
      <c r="B423" s="2091" t="s">
        <v>14</v>
      </c>
      <c r="C423" s="2091" t="s">
        <v>2719</v>
      </c>
      <c r="D423" s="2091" t="s">
        <v>2720</v>
      </c>
      <c r="E423" s="2091" t="s">
        <v>2721</v>
      </c>
      <c r="F423" s="2091" t="s">
        <v>2361</v>
      </c>
      <c r="G423" s="2091" t="s">
        <v>24</v>
      </c>
      <c r="H423" s="2091" t="s">
        <v>24</v>
      </c>
      <c r="I423" s="2091" t="s">
        <v>790</v>
      </c>
    </row>
    <row r="424" spans="1:9" ht="11.25" customHeight="1">
      <c r="A424" s="2091" t="s">
        <v>2181</v>
      </c>
      <c r="B424" s="2091" t="s">
        <v>14</v>
      </c>
      <c r="C424" s="2091" t="s">
        <v>2722</v>
      </c>
      <c r="D424" s="2091" t="s">
        <v>2723</v>
      </c>
      <c r="E424" s="2091" t="s">
        <v>2724</v>
      </c>
      <c r="F424" s="2091" t="s">
        <v>2725</v>
      </c>
      <c r="G424" s="2091" t="s">
        <v>24</v>
      </c>
      <c r="H424" s="2091" t="s">
        <v>24</v>
      </c>
      <c r="I424" s="2091" t="s">
        <v>790</v>
      </c>
    </row>
    <row r="425" spans="1:9" ht="11.25" customHeight="1">
      <c r="A425" s="2091" t="s">
        <v>2181</v>
      </c>
      <c r="B425" s="2091" t="s">
        <v>14</v>
      </c>
      <c r="C425" s="2091" t="s">
        <v>2726</v>
      </c>
      <c r="D425" s="2091" t="s">
        <v>2727</v>
      </c>
      <c r="E425" s="2091" t="s">
        <v>2728</v>
      </c>
      <c r="F425" s="2091" t="s">
        <v>2334</v>
      </c>
      <c r="G425" s="2091" t="s">
        <v>24</v>
      </c>
      <c r="H425" s="2091" t="s">
        <v>24</v>
      </c>
      <c r="I425" s="2091" t="s">
        <v>790</v>
      </c>
    </row>
    <row r="426" spans="1:9" ht="11.25" customHeight="1">
      <c r="A426" s="2091" t="s">
        <v>2181</v>
      </c>
      <c r="B426" s="2091" t="s">
        <v>14</v>
      </c>
      <c r="C426" s="2091" t="s">
        <v>2729</v>
      </c>
      <c r="D426" s="2091" t="s">
        <v>2730</v>
      </c>
      <c r="E426" s="2091" t="s">
        <v>2731</v>
      </c>
      <c r="F426" s="2091" t="s">
        <v>2185</v>
      </c>
      <c r="G426" s="2091" t="s">
        <v>24</v>
      </c>
      <c r="H426" s="2091" t="s">
        <v>24</v>
      </c>
      <c r="I426" s="2091" t="s">
        <v>790</v>
      </c>
    </row>
    <row r="427" spans="1:9" ht="11.25" customHeight="1">
      <c r="A427" s="2091" t="s">
        <v>2181</v>
      </c>
      <c r="B427" s="2091" t="s">
        <v>14</v>
      </c>
      <c r="C427" s="2091" t="s">
        <v>2732</v>
      </c>
      <c r="D427" s="2091" t="s">
        <v>2733</v>
      </c>
      <c r="E427" s="2091" t="s">
        <v>2734</v>
      </c>
      <c r="F427" s="2091" t="s">
        <v>2383</v>
      </c>
      <c r="G427" s="2091" t="s">
        <v>24</v>
      </c>
      <c r="H427" s="2091" t="s">
        <v>24</v>
      </c>
      <c r="I427" s="2091" t="s">
        <v>790</v>
      </c>
    </row>
    <row r="428" spans="1:9" ht="11.25" customHeight="1">
      <c r="A428" s="2091" t="s">
        <v>2181</v>
      </c>
      <c r="B428" s="2091" t="s">
        <v>14</v>
      </c>
      <c r="C428" s="2091" t="s">
        <v>2741</v>
      </c>
      <c r="D428" s="2091" t="s">
        <v>2742</v>
      </c>
      <c r="E428" s="2091" t="s">
        <v>2743</v>
      </c>
      <c r="F428" s="2091" t="s">
        <v>2468</v>
      </c>
      <c r="G428" s="2091" t="s">
        <v>24</v>
      </c>
      <c r="H428" s="2091" t="s">
        <v>24</v>
      </c>
      <c r="I428" s="2091" t="s">
        <v>790</v>
      </c>
    </row>
    <row r="429" spans="1:9" ht="11.25" customHeight="1">
      <c r="A429" s="2091" t="s">
        <v>2181</v>
      </c>
      <c r="B429" s="2091" t="s">
        <v>14</v>
      </c>
      <c r="C429" s="2091" t="s">
        <v>2744</v>
      </c>
      <c r="D429" s="2091" t="s">
        <v>2745</v>
      </c>
      <c r="E429" s="2091" t="s">
        <v>2746</v>
      </c>
      <c r="F429" s="2091" t="s">
        <v>2226</v>
      </c>
      <c r="G429" s="2091" t="s">
        <v>24</v>
      </c>
      <c r="H429" s="2091" t="s">
        <v>24</v>
      </c>
      <c r="I429" s="2091" t="s">
        <v>790</v>
      </c>
    </row>
    <row r="430" spans="1:9" ht="11.25" customHeight="1">
      <c r="A430" s="2091" t="s">
        <v>2181</v>
      </c>
      <c r="B430" s="2091" t="s">
        <v>14</v>
      </c>
      <c r="C430" s="2091" t="s">
        <v>2747</v>
      </c>
      <c r="D430" s="2091" t="s">
        <v>2748</v>
      </c>
      <c r="E430" s="2091" t="s">
        <v>2749</v>
      </c>
      <c r="F430" s="2091" t="s">
        <v>2242</v>
      </c>
      <c r="G430" s="2091" t="s">
        <v>24</v>
      </c>
      <c r="H430" s="2091" t="s">
        <v>24</v>
      </c>
      <c r="I430" s="2091" t="s">
        <v>790</v>
      </c>
    </row>
    <row r="431" spans="1:9" ht="11.25" customHeight="1">
      <c r="A431" s="2091" t="s">
        <v>2181</v>
      </c>
      <c r="B431" s="2091" t="s">
        <v>14</v>
      </c>
      <c r="C431" s="2091" t="s">
        <v>2750</v>
      </c>
      <c r="D431" s="2091" t="s">
        <v>2751</v>
      </c>
      <c r="E431" s="2091" t="s">
        <v>2752</v>
      </c>
      <c r="F431" s="2091" t="s">
        <v>2492</v>
      </c>
      <c r="G431" s="2091" t="s">
        <v>24</v>
      </c>
      <c r="H431" s="2091" t="s">
        <v>24</v>
      </c>
      <c r="I431" s="2091" t="s">
        <v>790</v>
      </c>
    </row>
    <row r="432" spans="1:9" ht="11.25" customHeight="1">
      <c r="A432" s="2091" t="s">
        <v>2181</v>
      </c>
      <c r="B432" s="2091" t="s">
        <v>14</v>
      </c>
      <c r="C432" s="2091" t="s">
        <v>2753</v>
      </c>
      <c r="D432" s="2091" t="s">
        <v>2754</v>
      </c>
      <c r="E432" s="2091" t="s">
        <v>2755</v>
      </c>
      <c r="F432" s="2091" t="s">
        <v>2317</v>
      </c>
      <c r="G432" s="2091" t="s">
        <v>2756</v>
      </c>
      <c r="H432" s="2091" t="s">
        <v>2757</v>
      </c>
      <c r="I432" s="2091" t="s">
        <v>790</v>
      </c>
    </row>
    <row r="433" spans="1:9" ht="11.25" customHeight="1">
      <c r="A433" s="2091" t="s">
        <v>2181</v>
      </c>
      <c r="B433" s="2091" t="s">
        <v>14</v>
      </c>
      <c r="C433" s="2091" t="s">
        <v>2758</v>
      </c>
      <c r="D433" s="2091" t="s">
        <v>2759</v>
      </c>
      <c r="E433" s="2091" t="s">
        <v>2760</v>
      </c>
      <c r="F433" s="2091" t="s">
        <v>2725</v>
      </c>
      <c r="G433" s="2091" t="s">
        <v>24</v>
      </c>
      <c r="H433" s="2091" t="s">
        <v>24</v>
      </c>
      <c r="I433" s="2091" t="s">
        <v>790</v>
      </c>
    </row>
    <row r="434" spans="1:9" ht="11.25" customHeight="1">
      <c r="A434" s="2091" t="s">
        <v>2181</v>
      </c>
      <c r="B434" s="2091" t="s">
        <v>14</v>
      </c>
      <c r="C434" s="2091" t="s">
        <v>2764</v>
      </c>
      <c r="D434" s="2091" t="s">
        <v>2765</v>
      </c>
      <c r="E434" s="2091" t="s">
        <v>2766</v>
      </c>
      <c r="F434" s="2091" t="s">
        <v>2250</v>
      </c>
      <c r="G434" s="2091" t="s">
        <v>24</v>
      </c>
      <c r="H434" s="2091" t="s">
        <v>24</v>
      </c>
      <c r="I434" s="2091" t="s">
        <v>790</v>
      </c>
    </row>
    <row r="435" spans="1:9" ht="11.25" customHeight="1">
      <c r="A435" s="2091" t="s">
        <v>2181</v>
      </c>
      <c r="B435" s="2091" t="s">
        <v>14</v>
      </c>
      <c r="C435" s="2091" t="s">
        <v>2770</v>
      </c>
      <c r="D435" s="2091" t="s">
        <v>2771</v>
      </c>
      <c r="E435" s="2091" t="s">
        <v>2772</v>
      </c>
      <c r="F435" s="2091" t="s">
        <v>2329</v>
      </c>
      <c r="G435" s="2091" t="s">
        <v>24</v>
      </c>
      <c r="H435" s="2091" t="s">
        <v>24</v>
      </c>
      <c r="I435" s="2091" t="s">
        <v>790</v>
      </c>
    </row>
    <row r="436" spans="1:9" ht="11.25" customHeight="1">
      <c r="A436" s="2091" t="s">
        <v>2181</v>
      </c>
      <c r="B436" s="2091" t="s">
        <v>14</v>
      </c>
      <c r="C436" s="2091" t="s">
        <v>2773</v>
      </c>
      <c r="D436" s="2091" t="s">
        <v>2774</v>
      </c>
      <c r="E436" s="2091" t="s">
        <v>2775</v>
      </c>
      <c r="F436" s="2091" t="s">
        <v>2317</v>
      </c>
      <c r="G436" s="2091" t="s">
        <v>24</v>
      </c>
      <c r="H436" s="2091" t="s">
        <v>24</v>
      </c>
      <c r="I436" s="2091" t="s">
        <v>790</v>
      </c>
    </row>
    <row r="437" spans="1:9" ht="11.25" customHeight="1">
      <c r="A437" s="2091" t="s">
        <v>2181</v>
      </c>
      <c r="B437" s="2091" t="s">
        <v>14</v>
      </c>
      <c r="C437" s="2091" t="s">
        <v>3361</v>
      </c>
      <c r="D437" s="2091" t="s">
        <v>3362</v>
      </c>
      <c r="E437" s="2091" t="s">
        <v>3363</v>
      </c>
      <c r="F437" s="2091" t="s">
        <v>2273</v>
      </c>
      <c r="G437" s="2091" t="s">
        <v>3364</v>
      </c>
      <c r="H437" s="2091" t="s">
        <v>24</v>
      </c>
      <c r="I437" s="2091" t="s">
        <v>790</v>
      </c>
    </row>
    <row r="438" spans="1:9" ht="11.25" customHeight="1">
      <c r="A438" s="2091" t="s">
        <v>2181</v>
      </c>
      <c r="B438" s="2091" t="s">
        <v>14</v>
      </c>
      <c r="C438" s="2091" t="s">
        <v>3365</v>
      </c>
      <c r="D438" s="2091" t="s">
        <v>3366</v>
      </c>
      <c r="E438" s="2091" t="s">
        <v>3367</v>
      </c>
      <c r="F438" s="2091" t="s">
        <v>3355</v>
      </c>
      <c r="G438" s="2091" t="s">
        <v>24</v>
      </c>
      <c r="H438" s="2091" t="s">
        <v>24</v>
      </c>
      <c r="I438" s="2091" t="s">
        <v>790</v>
      </c>
    </row>
    <row r="439" spans="1:9" ht="11.25" customHeight="1">
      <c r="A439" s="2091" t="s">
        <v>2181</v>
      </c>
      <c r="B439" s="2091" t="s">
        <v>14</v>
      </c>
      <c r="C439" s="2091" t="s">
        <v>2776</v>
      </c>
      <c r="D439" s="2091" t="s">
        <v>2777</v>
      </c>
      <c r="E439" s="2091" t="s">
        <v>2778</v>
      </c>
      <c r="F439" s="2091" t="s">
        <v>2317</v>
      </c>
      <c r="G439" s="2091" t="s">
        <v>24</v>
      </c>
      <c r="H439" s="2091" t="s">
        <v>24</v>
      </c>
      <c r="I439" s="2091" t="s">
        <v>790</v>
      </c>
    </row>
    <row r="440" spans="1:9" ht="11.25" customHeight="1">
      <c r="A440" s="2091" t="s">
        <v>2181</v>
      </c>
      <c r="B440" s="2091" t="s">
        <v>14</v>
      </c>
      <c r="C440" s="2091" t="s">
        <v>2779</v>
      </c>
      <c r="D440" s="2091" t="s">
        <v>2780</v>
      </c>
      <c r="E440" s="2091" t="s">
        <v>2781</v>
      </c>
      <c r="F440" s="2091" t="s">
        <v>2782</v>
      </c>
      <c r="G440" s="2091" t="s">
        <v>2783</v>
      </c>
      <c r="H440" s="2091" t="s">
        <v>24</v>
      </c>
      <c r="I440" s="2091" t="s">
        <v>790</v>
      </c>
    </row>
    <row r="441" spans="1:9" ht="11.25" customHeight="1">
      <c r="A441" s="2091" t="s">
        <v>2181</v>
      </c>
      <c r="B441" s="2091" t="s">
        <v>14</v>
      </c>
      <c r="C441" s="2091" t="s">
        <v>2784</v>
      </c>
      <c r="D441" s="2091" t="s">
        <v>2785</v>
      </c>
      <c r="E441" s="2091" t="s">
        <v>2786</v>
      </c>
      <c r="F441" s="2091" t="s">
        <v>2255</v>
      </c>
      <c r="G441" s="2091" t="s">
        <v>2787</v>
      </c>
      <c r="H441" s="2091" t="s">
        <v>24</v>
      </c>
      <c r="I441" s="2091" t="s">
        <v>790</v>
      </c>
    </row>
    <row r="442" spans="1:9" ht="11.25" customHeight="1">
      <c r="A442" s="2091" t="s">
        <v>2181</v>
      </c>
      <c r="B442" s="2091" t="s">
        <v>14</v>
      </c>
      <c r="C442" s="2091" t="s">
        <v>2788</v>
      </c>
      <c r="D442" s="2091" t="s">
        <v>2789</v>
      </c>
      <c r="E442" s="2091" t="s">
        <v>2790</v>
      </c>
      <c r="F442" s="2091" t="s">
        <v>2424</v>
      </c>
      <c r="G442" s="2091" t="s">
        <v>2791</v>
      </c>
      <c r="H442" s="2091" t="s">
        <v>24</v>
      </c>
      <c r="I442" s="2091" t="s">
        <v>790</v>
      </c>
    </row>
    <row r="443" spans="1:9" ht="11.25" customHeight="1">
      <c r="A443" s="2091" t="s">
        <v>2181</v>
      </c>
      <c r="B443" s="2091" t="s">
        <v>14</v>
      </c>
      <c r="C443" s="2091" t="s">
        <v>2792</v>
      </c>
      <c r="D443" s="2091" t="s">
        <v>2793</v>
      </c>
      <c r="E443" s="2091" t="s">
        <v>2794</v>
      </c>
      <c r="F443" s="2091" t="s">
        <v>2709</v>
      </c>
      <c r="G443" s="2091" t="s">
        <v>24</v>
      </c>
      <c r="H443" s="2091" t="s">
        <v>24</v>
      </c>
      <c r="I443" s="2091" t="s">
        <v>790</v>
      </c>
    </row>
    <row r="444" spans="1:9" ht="11.25" customHeight="1">
      <c r="A444" s="2091" t="s">
        <v>2181</v>
      </c>
      <c r="B444" s="2091" t="s">
        <v>14</v>
      </c>
      <c r="C444" s="2091" t="s">
        <v>2795</v>
      </c>
      <c r="D444" s="2091" t="s">
        <v>2796</v>
      </c>
      <c r="E444" s="2091" t="s">
        <v>2797</v>
      </c>
      <c r="F444" s="2091" t="s">
        <v>2683</v>
      </c>
      <c r="G444" s="2091" t="s">
        <v>2798</v>
      </c>
      <c r="H444" s="2091" t="s">
        <v>2799</v>
      </c>
      <c r="I444" s="2091" t="s">
        <v>790</v>
      </c>
    </row>
    <row r="445" spans="1:9" ht="11.25" customHeight="1">
      <c r="A445" s="2091" t="s">
        <v>2181</v>
      </c>
      <c r="B445" s="2091" t="s">
        <v>14</v>
      </c>
      <c r="C445" s="2091" t="s">
        <v>2803</v>
      </c>
      <c r="D445" s="2091" t="s">
        <v>2804</v>
      </c>
      <c r="E445" s="2091" t="s">
        <v>2805</v>
      </c>
      <c r="F445" s="2091" t="s">
        <v>2405</v>
      </c>
      <c r="G445" s="2091" t="s">
        <v>24</v>
      </c>
      <c r="H445" s="2091" t="s">
        <v>24</v>
      </c>
      <c r="I445" s="2091" t="s">
        <v>790</v>
      </c>
    </row>
    <row r="446" spans="1:9" ht="11.25" customHeight="1">
      <c r="A446" s="2091" t="s">
        <v>2181</v>
      </c>
      <c r="B446" s="2091" t="s">
        <v>14</v>
      </c>
      <c r="C446" s="2091" t="s">
        <v>2806</v>
      </c>
      <c r="D446" s="2091" t="s">
        <v>2807</v>
      </c>
      <c r="E446" s="2091" t="s">
        <v>2808</v>
      </c>
      <c r="F446" s="2091" t="s">
        <v>2185</v>
      </c>
      <c r="G446" s="2091" t="s">
        <v>2809</v>
      </c>
      <c r="H446" s="2091" t="s">
        <v>24</v>
      </c>
      <c r="I446" s="2091" t="s">
        <v>790</v>
      </c>
    </row>
    <row r="447" spans="1:9" ht="11.25" customHeight="1">
      <c r="A447" s="2091" t="s">
        <v>2181</v>
      </c>
      <c r="B447" s="2091" t="s">
        <v>14</v>
      </c>
      <c r="C447" s="2091" t="s">
        <v>2813</v>
      </c>
      <c r="D447" s="2091" t="s">
        <v>2814</v>
      </c>
      <c r="E447" s="2091" t="s">
        <v>2815</v>
      </c>
      <c r="F447" s="2091" t="s">
        <v>2816</v>
      </c>
      <c r="G447" s="2091" t="s">
        <v>2817</v>
      </c>
      <c r="H447" s="2091" t="s">
        <v>24</v>
      </c>
      <c r="I447" s="2091" t="s">
        <v>790</v>
      </c>
    </row>
    <row r="448" spans="1:9" ht="11.25" customHeight="1">
      <c r="A448" s="2091" t="s">
        <v>2181</v>
      </c>
      <c r="B448" s="2091" t="s">
        <v>14</v>
      </c>
      <c r="C448" s="2091" t="s">
        <v>2818</v>
      </c>
      <c r="D448" s="2091" t="s">
        <v>2819</v>
      </c>
      <c r="E448" s="2091" t="s">
        <v>2820</v>
      </c>
      <c r="F448" s="2091" t="s">
        <v>2451</v>
      </c>
      <c r="G448" s="2091" t="s">
        <v>24</v>
      </c>
      <c r="H448" s="2091" t="s">
        <v>24</v>
      </c>
      <c r="I448" s="2091" t="s">
        <v>790</v>
      </c>
    </row>
    <row r="449" spans="1:9" ht="11.25" customHeight="1">
      <c r="A449" s="2091" t="s">
        <v>2181</v>
      </c>
      <c r="B449" s="2091" t="s">
        <v>14</v>
      </c>
      <c r="C449" s="2091" t="s">
        <v>2821</v>
      </c>
      <c r="D449" s="2091" t="s">
        <v>2822</v>
      </c>
      <c r="E449" s="2091" t="s">
        <v>2823</v>
      </c>
      <c r="F449" s="2091" t="s">
        <v>2451</v>
      </c>
      <c r="G449" s="2091" t="s">
        <v>2824</v>
      </c>
      <c r="H449" s="2091" t="s">
        <v>24</v>
      </c>
      <c r="I449" s="2091" t="s">
        <v>790</v>
      </c>
    </row>
    <row r="450" spans="1:9" ht="11.25" customHeight="1">
      <c r="A450" s="2091" t="s">
        <v>2181</v>
      </c>
      <c r="B450" s="2091" t="s">
        <v>14</v>
      </c>
      <c r="C450" s="2091" t="s">
        <v>2825</v>
      </c>
      <c r="D450" s="2091" t="s">
        <v>2826</v>
      </c>
      <c r="E450" s="2091" t="s">
        <v>2827</v>
      </c>
      <c r="F450" s="2091" t="s">
        <v>2828</v>
      </c>
      <c r="G450" s="2091" t="s">
        <v>2829</v>
      </c>
      <c r="H450" s="2091" t="s">
        <v>24</v>
      </c>
      <c r="I450" s="2091" t="s">
        <v>790</v>
      </c>
    </row>
    <row r="451" spans="1:9" ht="11.25" customHeight="1">
      <c r="A451" s="2091" t="s">
        <v>2181</v>
      </c>
      <c r="B451" s="2091" t="s">
        <v>14</v>
      </c>
      <c r="C451" s="2091" t="s">
        <v>2837</v>
      </c>
      <c r="D451" s="2091" t="s">
        <v>2838</v>
      </c>
      <c r="E451" s="2091" t="s">
        <v>2839</v>
      </c>
      <c r="F451" s="2091" t="s">
        <v>2512</v>
      </c>
      <c r="G451" s="2091" t="s">
        <v>2840</v>
      </c>
      <c r="H451" s="2091" t="s">
        <v>24</v>
      </c>
      <c r="I451" s="2091" t="s">
        <v>790</v>
      </c>
    </row>
    <row r="452" spans="1:9" ht="11.25" customHeight="1">
      <c r="A452" s="2091" t="s">
        <v>2181</v>
      </c>
      <c r="B452" s="2091" t="s">
        <v>14</v>
      </c>
      <c r="C452" s="2091" t="s">
        <v>2841</v>
      </c>
      <c r="D452" s="2091" t="s">
        <v>2842</v>
      </c>
      <c r="E452" s="2091" t="s">
        <v>2843</v>
      </c>
      <c r="F452" s="2091" t="s">
        <v>2317</v>
      </c>
      <c r="G452" s="2091" t="s">
        <v>2844</v>
      </c>
      <c r="H452" s="2091" t="s">
        <v>24</v>
      </c>
      <c r="I452" s="2091" t="s">
        <v>790</v>
      </c>
    </row>
    <row r="453" spans="1:9" ht="11.25" customHeight="1">
      <c r="A453" s="2091" t="s">
        <v>2181</v>
      </c>
      <c r="B453" s="2091" t="s">
        <v>14</v>
      </c>
      <c r="C453" s="2091" t="s">
        <v>3368</v>
      </c>
      <c r="D453" s="2091" t="s">
        <v>3369</v>
      </c>
      <c r="E453" s="2091" t="s">
        <v>3370</v>
      </c>
      <c r="F453" s="2091" t="s">
        <v>2242</v>
      </c>
      <c r="G453" s="2091" t="s">
        <v>3371</v>
      </c>
      <c r="H453" s="2091" t="s">
        <v>3372</v>
      </c>
      <c r="I453" s="2091" t="s">
        <v>790</v>
      </c>
    </row>
    <row r="454" spans="1:9" ht="11.25" customHeight="1">
      <c r="A454" s="2091" t="s">
        <v>2181</v>
      </c>
      <c r="B454" s="2091" t="s">
        <v>14</v>
      </c>
      <c r="C454" s="2091" t="s">
        <v>2849</v>
      </c>
      <c r="D454" s="2091" t="s">
        <v>2850</v>
      </c>
      <c r="E454" s="2091" t="s">
        <v>2851</v>
      </c>
      <c r="F454" s="2091" t="s">
        <v>2852</v>
      </c>
      <c r="G454" s="2091" t="s">
        <v>2853</v>
      </c>
      <c r="H454" s="2091" t="s">
        <v>2854</v>
      </c>
      <c r="I454" s="2091" t="s">
        <v>790</v>
      </c>
    </row>
    <row r="455" spans="1:9" ht="11.25" customHeight="1">
      <c r="A455" s="2091" t="s">
        <v>2181</v>
      </c>
      <c r="B455" s="2091" t="s">
        <v>14</v>
      </c>
      <c r="C455" s="2091" t="s">
        <v>2858</v>
      </c>
      <c r="D455" s="2091" t="s">
        <v>2859</v>
      </c>
      <c r="E455" s="2091" t="s">
        <v>2860</v>
      </c>
      <c r="F455" s="2091" t="s">
        <v>2852</v>
      </c>
      <c r="G455" s="2091" t="s">
        <v>24</v>
      </c>
      <c r="H455" s="2091" t="s">
        <v>24</v>
      </c>
      <c r="I455" s="2091" t="s">
        <v>790</v>
      </c>
    </row>
    <row r="456" spans="1:9" ht="11.25" customHeight="1">
      <c r="A456" s="2091" t="s">
        <v>2181</v>
      </c>
      <c r="B456" s="2091" t="s">
        <v>14</v>
      </c>
      <c r="C456" s="2091" t="s">
        <v>2861</v>
      </c>
      <c r="D456" s="2091" t="s">
        <v>2862</v>
      </c>
      <c r="E456" s="2091" t="s">
        <v>2863</v>
      </c>
      <c r="F456" s="2091" t="s">
        <v>2218</v>
      </c>
      <c r="G456" s="2091" t="s">
        <v>24</v>
      </c>
      <c r="H456" s="2091" t="s">
        <v>24</v>
      </c>
      <c r="I456" s="2091" t="s">
        <v>790</v>
      </c>
    </row>
    <row r="457" spans="1:9" ht="11.25" customHeight="1">
      <c r="A457" s="2091" t="s">
        <v>2181</v>
      </c>
      <c r="B457" s="2091" t="s">
        <v>14</v>
      </c>
      <c r="C457" s="2091" t="s">
        <v>2867</v>
      </c>
      <c r="D457" s="2091" t="s">
        <v>2868</v>
      </c>
      <c r="E457" s="2091" t="s">
        <v>2869</v>
      </c>
      <c r="F457" s="2091" t="s">
        <v>2334</v>
      </c>
      <c r="G457" s="2091" t="s">
        <v>2870</v>
      </c>
      <c r="H457" s="2091" t="s">
        <v>24</v>
      </c>
      <c r="I457" s="2091" t="s">
        <v>790</v>
      </c>
    </row>
    <row r="458" spans="1:9" ht="11.25" customHeight="1">
      <c r="A458" s="2091" t="s">
        <v>2181</v>
      </c>
      <c r="B458" s="2091" t="s">
        <v>14</v>
      </c>
      <c r="C458" s="2091" t="s">
        <v>2871</v>
      </c>
      <c r="D458" s="2091" t="s">
        <v>2872</v>
      </c>
      <c r="E458" s="2091" t="s">
        <v>2873</v>
      </c>
      <c r="F458" s="2091" t="s">
        <v>2185</v>
      </c>
      <c r="G458" s="2091" t="s">
        <v>24</v>
      </c>
      <c r="H458" s="2091" t="s">
        <v>24</v>
      </c>
      <c r="I458" s="2091" t="s">
        <v>790</v>
      </c>
    </row>
    <row r="459" spans="1:9" ht="11.25" customHeight="1">
      <c r="A459" s="2091" t="s">
        <v>2181</v>
      </c>
      <c r="B459" s="2091" t="s">
        <v>14</v>
      </c>
      <c r="C459" s="2091" t="s">
        <v>2874</v>
      </c>
      <c r="D459" s="2091" t="s">
        <v>2875</v>
      </c>
      <c r="E459" s="2091" t="s">
        <v>2876</v>
      </c>
      <c r="F459" s="2091" t="s">
        <v>2218</v>
      </c>
      <c r="G459" s="2091" t="s">
        <v>24</v>
      </c>
      <c r="H459" s="2091" t="s">
        <v>24</v>
      </c>
      <c r="I459" s="2091" t="s">
        <v>790</v>
      </c>
    </row>
    <row r="460" spans="1:9" ht="11.25" customHeight="1">
      <c r="A460" s="2091" t="s">
        <v>2181</v>
      </c>
      <c r="B460" s="2091" t="s">
        <v>14</v>
      </c>
      <c r="C460" s="2091" t="s">
        <v>2881</v>
      </c>
      <c r="D460" s="2091" t="s">
        <v>2882</v>
      </c>
      <c r="E460" s="2091" t="s">
        <v>2883</v>
      </c>
      <c r="F460" s="2091" t="s">
        <v>2293</v>
      </c>
      <c r="G460" s="2091" t="s">
        <v>24</v>
      </c>
      <c r="H460" s="2091" t="s">
        <v>24</v>
      </c>
      <c r="I460" s="2091" t="s">
        <v>790</v>
      </c>
    </row>
    <row r="461" spans="1:9" ht="11.25" customHeight="1">
      <c r="A461" s="2091" t="s">
        <v>2181</v>
      </c>
      <c r="B461" s="2091" t="s">
        <v>14</v>
      </c>
      <c r="C461" s="2091" t="s">
        <v>2890</v>
      </c>
      <c r="D461" s="2091" t="s">
        <v>2891</v>
      </c>
      <c r="E461" s="2091" t="s">
        <v>2892</v>
      </c>
      <c r="F461" s="2091" t="s">
        <v>2424</v>
      </c>
      <c r="G461" s="2091" t="s">
        <v>24</v>
      </c>
      <c r="H461" s="2091" t="s">
        <v>2893</v>
      </c>
      <c r="I461" s="2091" t="s">
        <v>790</v>
      </c>
    </row>
    <row r="462" spans="1:9" ht="11.25" customHeight="1">
      <c r="A462" s="2091" t="s">
        <v>2181</v>
      </c>
      <c r="B462" s="2091" t="s">
        <v>14</v>
      </c>
      <c r="C462" s="2091" t="s">
        <v>2897</v>
      </c>
      <c r="D462" s="2091" t="s">
        <v>2898</v>
      </c>
      <c r="E462" s="2091" t="s">
        <v>2899</v>
      </c>
      <c r="F462" s="2091" t="s">
        <v>2218</v>
      </c>
      <c r="G462" s="2091" t="s">
        <v>2900</v>
      </c>
      <c r="H462" s="2091" t="s">
        <v>24</v>
      </c>
      <c r="I462" s="2091" t="s">
        <v>790</v>
      </c>
    </row>
    <row r="463" spans="1:9" ht="11.25" customHeight="1">
      <c r="A463" s="2091" t="s">
        <v>2181</v>
      </c>
      <c r="B463" s="2091" t="s">
        <v>14</v>
      </c>
      <c r="C463" s="2091" t="s">
        <v>2907</v>
      </c>
      <c r="D463" s="2091" t="s">
        <v>2908</v>
      </c>
      <c r="E463" s="2091" t="s">
        <v>2909</v>
      </c>
      <c r="F463" s="2091" t="s">
        <v>2709</v>
      </c>
      <c r="G463" s="2091" t="s">
        <v>24</v>
      </c>
      <c r="H463" s="2091" t="s">
        <v>24</v>
      </c>
      <c r="I463" s="2091" t="s">
        <v>790</v>
      </c>
    </row>
    <row r="464" spans="1:9" ht="11.25" customHeight="1">
      <c r="A464" s="2091" t="s">
        <v>2181</v>
      </c>
      <c r="B464" s="2091" t="s">
        <v>14</v>
      </c>
      <c r="C464" s="2091" t="s">
        <v>2910</v>
      </c>
      <c r="D464" s="2091" t="s">
        <v>2911</v>
      </c>
      <c r="E464" s="2091" t="s">
        <v>2912</v>
      </c>
      <c r="F464" s="2091" t="s">
        <v>2293</v>
      </c>
      <c r="G464" s="2091" t="s">
        <v>24</v>
      </c>
      <c r="H464" s="2091" t="s">
        <v>24</v>
      </c>
      <c r="I464" s="2091" t="s">
        <v>790</v>
      </c>
    </row>
    <row r="465" spans="1:9" ht="11.25" customHeight="1">
      <c r="A465" s="2091" t="s">
        <v>2181</v>
      </c>
      <c r="B465" s="2091" t="s">
        <v>14</v>
      </c>
      <c r="C465" s="2091" t="s">
        <v>2916</v>
      </c>
      <c r="D465" s="2091" t="s">
        <v>2917</v>
      </c>
      <c r="E465" s="2091" t="s">
        <v>2918</v>
      </c>
      <c r="F465" s="2091" t="s">
        <v>2250</v>
      </c>
      <c r="G465" s="2091" t="s">
        <v>24</v>
      </c>
      <c r="H465" s="2091" t="s">
        <v>24</v>
      </c>
      <c r="I465" s="2091" t="s">
        <v>790</v>
      </c>
    </row>
    <row r="466" spans="1:9" ht="11.25" customHeight="1">
      <c r="A466" s="2091" t="s">
        <v>2181</v>
      </c>
      <c r="B466" s="2091" t="s">
        <v>14</v>
      </c>
      <c r="C466" s="2091" t="s">
        <v>2928</v>
      </c>
      <c r="D466" s="2091" t="s">
        <v>2929</v>
      </c>
      <c r="E466" s="2091" t="s">
        <v>2930</v>
      </c>
      <c r="F466" s="2091" t="s">
        <v>2255</v>
      </c>
      <c r="G466" s="2091" t="s">
        <v>2931</v>
      </c>
      <c r="H466" s="2091" t="s">
        <v>24</v>
      </c>
      <c r="I466" s="2091" t="s">
        <v>790</v>
      </c>
    </row>
    <row r="467" spans="1:9" ht="11.25" customHeight="1">
      <c r="A467" s="2091" t="s">
        <v>2181</v>
      </c>
      <c r="B467" s="2091" t="s">
        <v>14</v>
      </c>
      <c r="C467" s="2091" t="s">
        <v>2932</v>
      </c>
      <c r="D467" s="2091" t="s">
        <v>2933</v>
      </c>
      <c r="E467" s="2091" t="s">
        <v>2934</v>
      </c>
      <c r="F467" s="2091" t="s">
        <v>2679</v>
      </c>
      <c r="G467" s="2091" t="s">
        <v>24</v>
      </c>
      <c r="H467" s="2091" t="s">
        <v>24</v>
      </c>
      <c r="I467" s="2091" t="s">
        <v>790</v>
      </c>
    </row>
    <row r="468" spans="1:9" ht="11.25" customHeight="1">
      <c r="A468" s="2091" t="s">
        <v>2181</v>
      </c>
      <c r="B468" s="2091" t="s">
        <v>14</v>
      </c>
      <c r="C468" s="2091" t="s">
        <v>2935</v>
      </c>
      <c r="D468" s="2091" t="s">
        <v>2936</v>
      </c>
      <c r="E468" s="2091" t="s">
        <v>2937</v>
      </c>
      <c r="F468" s="2091" t="s">
        <v>2578</v>
      </c>
      <c r="G468" s="2091" t="s">
        <v>24</v>
      </c>
      <c r="H468" s="2091" t="s">
        <v>24</v>
      </c>
      <c r="I468" s="2091" t="s">
        <v>790</v>
      </c>
    </row>
    <row r="469" spans="1:9" ht="11.25" customHeight="1">
      <c r="A469" s="2091" t="s">
        <v>2181</v>
      </c>
      <c r="B469" s="2091" t="s">
        <v>14</v>
      </c>
      <c r="C469" s="2091" t="s">
        <v>2944</v>
      </c>
      <c r="D469" s="2091" t="s">
        <v>2945</v>
      </c>
      <c r="E469" s="2091" t="s">
        <v>2946</v>
      </c>
      <c r="F469" s="2091" t="s">
        <v>2198</v>
      </c>
      <c r="G469" s="2091" t="s">
        <v>24</v>
      </c>
      <c r="H469" s="2091" t="s">
        <v>24</v>
      </c>
      <c r="I469" s="2091" t="s">
        <v>790</v>
      </c>
    </row>
    <row r="470" spans="1:9" ht="11.25" customHeight="1">
      <c r="A470" s="2091" t="s">
        <v>2181</v>
      </c>
      <c r="B470" s="2091" t="s">
        <v>14</v>
      </c>
      <c r="C470" s="2091" t="s">
        <v>2957</v>
      </c>
      <c r="D470" s="2091" t="s">
        <v>2958</v>
      </c>
      <c r="E470" s="2091" t="s">
        <v>2959</v>
      </c>
      <c r="F470" s="2091" t="s">
        <v>2338</v>
      </c>
      <c r="G470" s="2091" t="s">
        <v>24</v>
      </c>
      <c r="H470" s="2091" t="s">
        <v>24</v>
      </c>
      <c r="I470" s="2091" t="s">
        <v>790</v>
      </c>
    </row>
    <row r="471" spans="1:9" ht="11.25" customHeight="1">
      <c r="A471" s="2091" t="s">
        <v>2181</v>
      </c>
      <c r="B471" s="2091" t="s">
        <v>14</v>
      </c>
      <c r="C471" s="2091" t="s">
        <v>2960</v>
      </c>
      <c r="D471" s="2091" t="s">
        <v>2961</v>
      </c>
      <c r="E471" s="2091" t="s">
        <v>2962</v>
      </c>
      <c r="F471" s="2091" t="s">
        <v>2343</v>
      </c>
      <c r="G471" s="2091" t="s">
        <v>2963</v>
      </c>
      <c r="H471" s="2091" t="s">
        <v>24</v>
      </c>
      <c r="I471" s="2091" t="s">
        <v>790</v>
      </c>
    </row>
    <row r="472" spans="1:9" ht="11.25" customHeight="1">
      <c r="A472" s="2091" t="s">
        <v>2181</v>
      </c>
      <c r="B472" s="2091" t="s">
        <v>14</v>
      </c>
      <c r="C472" s="2091" t="s">
        <v>2967</v>
      </c>
      <c r="D472" s="2091" t="s">
        <v>2968</v>
      </c>
      <c r="E472" s="2091" t="s">
        <v>2969</v>
      </c>
      <c r="F472" s="2091" t="s">
        <v>2226</v>
      </c>
      <c r="G472" s="2091" t="s">
        <v>24</v>
      </c>
      <c r="H472" s="2091" t="s">
        <v>24</v>
      </c>
      <c r="I472" s="2091" t="s">
        <v>790</v>
      </c>
    </row>
    <row r="473" spans="1:9" ht="11.25" customHeight="1">
      <c r="A473" s="2091" t="s">
        <v>2181</v>
      </c>
      <c r="B473" s="2091" t="s">
        <v>14</v>
      </c>
      <c r="C473" s="2091" t="s">
        <v>2970</v>
      </c>
      <c r="D473" s="2091" t="s">
        <v>2971</v>
      </c>
      <c r="E473" s="2091" t="s">
        <v>2972</v>
      </c>
      <c r="F473" s="2091" t="s">
        <v>2343</v>
      </c>
      <c r="G473" s="2091" t="s">
        <v>24</v>
      </c>
      <c r="H473" s="2091" t="s">
        <v>24</v>
      </c>
      <c r="I473" s="2091" t="s">
        <v>790</v>
      </c>
    </row>
    <row r="474" spans="1:9" ht="11.25" customHeight="1">
      <c r="A474" s="2091" t="s">
        <v>2181</v>
      </c>
      <c r="B474" s="2091" t="s">
        <v>14</v>
      </c>
      <c r="C474" s="2091" t="s">
        <v>2973</v>
      </c>
      <c r="D474" s="2091" t="s">
        <v>2974</v>
      </c>
      <c r="E474" s="2091" t="s">
        <v>2975</v>
      </c>
      <c r="F474" s="2091" t="s">
        <v>2317</v>
      </c>
      <c r="G474" s="2091" t="s">
        <v>24</v>
      </c>
      <c r="H474" s="2091" t="s">
        <v>24</v>
      </c>
      <c r="I474" s="2091" t="s">
        <v>790</v>
      </c>
    </row>
    <row r="475" spans="1:9" ht="11.25" customHeight="1">
      <c r="A475" s="2091" t="s">
        <v>2181</v>
      </c>
      <c r="B475" s="2091" t="s">
        <v>14</v>
      </c>
      <c r="C475" s="2091" t="s">
        <v>2976</v>
      </c>
      <c r="D475" s="2091" t="s">
        <v>2977</v>
      </c>
      <c r="E475" s="2091" t="s">
        <v>2978</v>
      </c>
      <c r="F475" s="2091" t="s">
        <v>2679</v>
      </c>
      <c r="G475" s="2091" t="s">
        <v>2979</v>
      </c>
      <c r="H475" s="2091" t="s">
        <v>24</v>
      </c>
      <c r="I475" s="2091" t="s">
        <v>790</v>
      </c>
    </row>
    <row r="476" spans="1:9" ht="11.25" customHeight="1">
      <c r="A476" s="2091" t="s">
        <v>2181</v>
      </c>
      <c r="B476" s="2091" t="s">
        <v>14</v>
      </c>
      <c r="C476" s="2091" t="s">
        <v>2984</v>
      </c>
      <c r="D476" s="2091" t="s">
        <v>2985</v>
      </c>
      <c r="E476" s="2091" t="s">
        <v>2986</v>
      </c>
      <c r="F476" s="2091" t="s">
        <v>2218</v>
      </c>
      <c r="G476" s="2091" t="s">
        <v>24</v>
      </c>
      <c r="H476" s="2091" t="s">
        <v>24</v>
      </c>
      <c r="I476" s="2091" t="s">
        <v>790</v>
      </c>
    </row>
    <row r="477" spans="1:9" ht="11.25" customHeight="1">
      <c r="A477" s="2091" t="s">
        <v>2181</v>
      </c>
      <c r="B477" s="2091" t="s">
        <v>14</v>
      </c>
      <c r="C477" s="2091" t="s">
        <v>2987</v>
      </c>
      <c r="D477" s="2091" t="s">
        <v>2988</v>
      </c>
      <c r="E477" s="2091" t="s">
        <v>2989</v>
      </c>
      <c r="F477" s="2091" t="s">
        <v>2218</v>
      </c>
      <c r="G477" s="2091" t="s">
        <v>24</v>
      </c>
      <c r="H477" s="2091" t="s">
        <v>24</v>
      </c>
      <c r="I477" s="2091" t="s">
        <v>790</v>
      </c>
    </row>
    <row r="478" spans="1:9" ht="11.25" customHeight="1">
      <c r="A478" s="2091" t="s">
        <v>2181</v>
      </c>
      <c r="B478" s="2091" t="s">
        <v>14</v>
      </c>
      <c r="C478" s="2091" t="s">
        <v>2996</v>
      </c>
      <c r="D478" s="2091" t="s">
        <v>2997</v>
      </c>
      <c r="E478" s="2091" t="s">
        <v>2998</v>
      </c>
      <c r="F478" s="2091" t="s">
        <v>2679</v>
      </c>
      <c r="G478" s="2091" t="s">
        <v>2999</v>
      </c>
      <c r="H478" s="2091" t="s">
        <v>24</v>
      </c>
      <c r="I478" s="2091" t="s">
        <v>790</v>
      </c>
    </row>
    <row r="479" spans="1:9" ht="11.25" customHeight="1">
      <c r="A479" s="2091" t="s">
        <v>2181</v>
      </c>
      <c r="B479" s="2091" t="s">
        <v>14</v>
      </c>
      <c r="C479" s="2091" t="s">
        <v>3012</v>
      </c>
      <c r="D479" s="2091" t="s">
        <v>3013</v>
      </c>
      <c r="E479" s="2091" t="s">
        <v>3014</v>
      </c>
      <c r="F479" s="2091" t="s">
        <v>2578</v>
      </c>
      <c r="G479" s="2091" t="s">
        <v>24</v>
      </c>
      <c r="H479" s="2091" t="s">
        <v>24</v>
      </c>
      <c r="I479" s="2091" t="s">
        <v>790</v>
      </c>
    </row>
    <row r="480" spans="1:9" ht="11.25" customHeight="1">
      <c r="A480" s="2091" t="s">
        <v>2181</v>
      </c>
      <c r="B480" s="2091" t="s">
        <v>14</v>
      </c>
      <c r="C480" s="2091" t="s">
        <v>3018</v>
      </c>
      <c r="D480" s="2091" t="s">
        <v>3019</v>
      </c>
      <c r="E480" s="2091" t="s">
        <v>3020</v>
      </c>
      <c r="F480" s="2091" t="s">
        <v>2631</v>
      </c>
      <c r="G480" s="2091" t="s">
        <v>24</v>
      </c>
      <c r="H480" s="2091" t="s">
        <v>24</v>
      </c>
      <c r="I480" s="2091" t="s">
        <v>790</v>
      </c>
    </row>
    <row r="481" spans="1:9" ht="11.25" customHeight="1">
      <c r="A481" s="2091" t="s">
        <v>2181</v>
      </c>
      <c r="B481" s="2091" t="s">
        <v>14</v>
      </c>
      <c r="C481" s="2091" t="s">
        <v>3021</v>
      </c>
      <c r="D481" s="2091" t="s">
        <v>3022</v>
      </c>
      <c r="E481" s="2091" t="s">
        <v>3023</v>
      </c>
      <c r="F481" s="2091" t="s">
        <v>2293</v>
      </c>
      <c r="G481" s="2091" t="s">
        <v>24</v>
      </c>
      <c r="H481" s="2091" t="s">
        <v>24</v>
      </c>
      <c r="I481" s="2091" t="s">
        <v>790</v>
      </c>
    </row>
    <row r="482" spans="1:9" ht="11.25" customHeight="1">
      <c r="A482" s="2091" t="s">
        <v>2181</v>
      </c>
      <c r="B482" s="2091" t="s">
        <v>14</v>
      </c>
      <c r="C482" s="2091" t="s">
        <v>3024</v>
      </c>
      <c r="D482" s="2091" t="s">
        <v>3025</v>
      </c>
      <c r="E482" s="2091" t="s">
        <v>3026</v>
      </c>
      <c r="F482" s="2091" t="s">
        <v>2250</v>
      </c>
      <c r="G482" s="2091" t="s">
        <v>3027</v>
      </c>
      <c r="H482" s="2091" t="s">
        <v>24</v>
      </c>
      <c r="I482" s="2091" t="s">
        <v>790</v>
      </c>
    </row>
    <row r="483" spans="1:9" ht="11.25" customHeight="1">
      <c r="A483" s="2091" t="s">
        <v>2181</v>
      </c>
      <c r="B483" s="2091" t="s">
        <v>14</v>
      </c>
      <c r="C483" s="2091" t="s">
        <v>3032</v>
      </c>
      <c r="D483" s="2091" t="s">
        <v>3033</v>
      </c>
      <c r="E483" s="2091" t="s">
        <v>3034</v>
      </c>
      <c r="F483" s="2091" t="s">
        <v>2365</v>
      </c>
      <c r="G483" s="2091" t="s">
        <v>24</v>
      </c>
      <c r="H483" s="2091" t="s">
        <v>24</v>
      </c>
      <c r="I483" s="2091" t="s">
        <v>790</v>
      </c>
    </row>
    <row r="484" spans="1:9" ht="11.25" customHeight="1">
      <c r="A484" s="2091" t="s">
        <v>2181</v>
      </c>
      <c r="B484" s="2091" t="s">
        <v>14</v>
      </c>
      <c r="C484" s="2091" t="s">
        <v>3038</v>
      </c>
      <c r="D484" s="2091" t="s">
        <v>3039</v>
      </c>
      <c r="E484" s="2091" t="s">
        <v>3040</v>
      </c>
      <c r="F484" s="2091" t="s">
        <v>2334</v>
      </c>
      <c r="G484" s="2091" t="s">
        <v>24</v>
      </c>
      <c r="H484" s="2091" t="s">
        <v>24</v>
      </c>
      <c r="I484" s="2091" t="s">
        <v>790</v>
      </c>
    </row>
    <row r="485" spans="1:9" ht="11.25" customHeight="1">
      <c r="A485" s="2091" t="s">
        <v>2181</v>
      </c>
      <c r="B485" s="2091" t="s">
        <v>14</v>
      </c>
      <c r="C485" s="2091" t="s">
        <v>3041</v>
      </c>
      <c r="D485" s="2091" t="s">
        <v>3042</v>
      </c>
      <c r="E485" s="2091" t="s">
        <v>3043</v>
      </c>
      <c r="F485" s="2091" t="s">
        <v>2343</v>
      </c>
      <c r="G485" s="2091" t="s">
        <v>24</v>
      </c>
      <c r="H485" s="2091" t="s">
        <v>24</v>
      </c>
      <c r="I485" s="2091" t="s">
        <v>790</v>
      </c>
    </row>
    <row r="486" spans="1:9" ht="11.25" customHeight="1">
      <c r="A486" s="2091" t="s">
        <v>2181</v>
      </c>
      <c r="B486" s="2091" t="s">
        <v>14</v>
      </c>
      <c r="C486" s="2091" t="s">
        <v>3044</v>
      </c>
      <c r="D486" s="2091" t="s">
        <v>3045</v>
      </c>
      <c r="E486" s="2091" t="s">
        <v>3046</v>
      </c>
      <c r="F486" s="2091" t="s">
        <v>2317</v>
      </c>
      <c r="G486" s="2091" t="s">
        <v>24</v>
      </c>
      <c r="H486" s="2091" t="s">
        <v>24</v>
      </c>
      <c r="I486" s="2091" t="s">
        <v>790</v>
      </c>
    </row>
    <row r="487" spans="1:9" ht="11.25" customHeight="1">
      <c r="A487" s="2091" t="s">
        <v>2181</v>
      </c>
      <c r="B487" s="2091" t="s">
        <v>14</v>
      </c>
      <c r="C487" s="2091" t="s">
        <v>3047</v>
      </c>
      <c r="D487" s="2091" t="s">
        <v>3048</v>
      </c>
      <c r="E487" s="2091" t="s">
        <v>3049</v>
      </c>
      <c r="F487" s="2091" t="s">
        <v>2631</v>
      </c>
      <c r="G487" s="2091" t="s">
        <v>24</v>
      </c>
      <c r="H487" s="2091" t="s">
        <v>24</v>
      </c>
      <c r="I487" s="2091" t="s">
        <v>790</v>
      </c>
    </row>
    <row r="488" spans="1:9" ht="11.25" customHeight="1">
      <c r="A488" s="2091" t="s">
        <v>2181</v>
      </c>
      <c r="B488" s="2091" t="s">
        <v>14</v>
      </c>
      <c r="C488" s="2091" t="s">
        <v>3050</v>
      </c>
      <c r="D488" s="2091" t="s">
        <v>3051</v>
      </c>
      <c r="E488" s="2091" t="s">
        <v>3052</v>
      </c>
      <c r="F488" s="2091" t="s">
        <v>2255</v>
      </c>
      <c r="G488" s="2091" t="s">
        <v>3053</v>
      </c>
      <c r="H488" s="2091" t="s">
        <v>24</v>
      </c>
      <c r="I488" s="2091" t="s">
        <v>790</v>
      </c>
    </row>
    <row r="489" spans="1:9" ht="11.25" customHeight="1">
      <c r="A489" s="2091" t="s">
        <v>2181</v>
      </c>
      <c r="B489" s="2091" t="s">
        <v>14</v>
      </c>
      <c r="C489" s="2091" t="s">
        <v>3057</v>
      </c>
      <c r="D489" s="2091" t="s">
        <v>3055</v>
      </c>
      <c r="E489" s="2091" t="s">
        <v>3058</v>
      </c>
      <c r="F489" s="2091" t="s">
        <v>2338</v>
      </c>
      <c r="G489" s="2091" t="s">
        <v>24</v>
      </c>
      <c r="H489" s="2091" t="s">
        <v>24</v>
      </c>
      <c r="I489" s="2091" t="s">
        <v>790</v>
      </c>
    </row>
    <row r="490" spans="1:9" ht="11.25" customHeight="1">
      <c r="A490" s="2091" t="s">
        <v>2181</v>
      </c>
      <c r="B490" s="2091" t="s">
        <v>14</v>
      </c>
      <c r="C490" s="2091" t="s">
        <v>3066</v>
      </c>
      <c r="D490" s="2091" t="s">
        <v>3067</v>
      </c>
      <c r="E490" s="2091" t="s">
        <v>3068</v>
      </c>
      <c r="F490" s="2091" t="s">
        <v>2468</v>
      </c>
      <c r="G490" s="2091" t="s">
        <v>24</v>
      </c>
      <c r="H490" s="2091" t="s">
        <v>24</v>
      </c>
      <c r="I490" s="2091" t="s">
        <v>790</v>
      </c>
    </row>
    <row r="491" spans="1:9" ht="11.25" customHeight="1">
      <c r="A491" s="2091" t="s">
        <v>2181</v>
      </c>
      <c r="B491" s="2091" t="s">
        <v>14</v>
      </c>
      <c r="C491" s="2091" t="s">
        <v>3069</v>
      </c>
      <c r="D491" s="2091" t="s">
        <v>3070</v>
      </c>
      <c r="E491" s="2091" t="s">
        <v>3071</v>
      </c>
      <c r="F491" s="2091" t="s">
        <v>2833</v>
      </c>
      <c r="G491" s="2091" t="s">
        <v>24</v>
      </c>
      <c r="H491" s="2091" t="s">
        <v>24</v>
      </c>
      <c r="I491" s="2091" t="s">
        <v>790</v>
      </c>
    </row>
    <row r="492" spans="1:9" ht="11.25" customHeight="1">
      <c r="A492" s="2091" t="s">
        <v>2181</v>
      </c>
      <c r="B492" s="2091" t="s">
        <v>14</v>
      </c>
      <c r="C492" s="2091" t="s">
        <v>3072</v>
      </c>
      <c r="D492" s="2091" t="s">
        <v>3073</v>
      </c>
      <c r="E492" s="2091" t="s">
        <v>3074</v>
      </c>
      <c r="F492" s="2091" t="s">
        <v>2455</v>
      </c>
      <c r="G492" s="2091" t="s">
        <v>24</v>
      </c>
      <c r="H492" s="2091" t="s">
        <v>24</v>
      </c>
      <c r="I492" s="2091" t="s">
        <v>790</v>
      </c>
    </row>
    <row r="493" spans="1:9" ht="11.25" customHeight="1">
      <c r="A493" s="2091" t="s">
        <v>2181</v>
      </c>
      <c r="B493" s="2091" t="s">
        <v>14</v>
      </c>
      <c r="C493" s="2091" t="s">
        <v>3077</v>
      </c>
      <c r="D493" s="2091" t="s">
        <v>3078</v>
      </c>
      <c r="E493" s="2091" t="s">
        <v>3079</v>
      </c>
      <c r="F493" s="2091" t="s">
        <v>2782</v>
      </c>
      <c r="G493" s="2091" t="s">
        <v>3080</v>
      </c>
      <c r="H493" s="2091" t="s">
        <v>24</v>
      </c>
      <c r="I493" s="2091" t="s">
        <v>790</v>
      </c>
    </row>
    <row r="494" spans="1:9" ht="11.25" customHeight="1">
      <c r="A494" s="2091" t="s">
        <v>2181</v>
      </c>
      <c r="B494" s="2091" t="s">
        <v>14</v>
      </c>
      <c r="C494" s="2091" t="s">
        <v>3085</v>
      </c>
      <c r="D494" s="2091" t="s">
        <v>3086</v>
      </c>
      <c r="E494" s="2091" t="s">
        <v>3087</v>
      </c>
      <c r="F494" s="2091" t="s">
        <v>2334</v>
      </c>
      <c r="G494" s="2091" t="s">
        <v>24</v>
      </c>
      <c r="H494" s="2091" t="s">
        <v>24</v>
      </c>
      <c r="I494" s="2091" t="s">
        <v>790</v>
      </c>
    </row>
    <row r="495" spans="1:9" ht="11.25" customHeight="1">
      <c r="A495" s="2091" t="s">
        <v>2181</v>
      </c>
      <c r="B495" s="2091" t="s">
        <v>14</v>
      </c>
      <c r="C495" s="2091" t="s">
        <v>3088</v>
      </c>
      <c r="D495" s="2091" t="s">
        <v>3089</v>
      </c>
      <c r="E495" s="2091" t="s">
        <v>3090</v>
      </c>
      <c r="F495" s="2091" t="s">
        <v>2852</v>
      </c>
      <c r="G495" s="2091" t="s">
        <v>24</v>
      </c>
      <c r="H495" s="2091" t="s">
        <v>24</v>
      </c>
      <c r="I495" s="2091" t="s">
        <v>790</v>
      </c>
    </row>
    <row r="496" spans="1:9" ht="11.25" customHeight="1">
      <c r="A496" s="2091" t="s">
        <v>2181</v>
      </c>
      <c r="B496" s="2091" t="s">
        <v>14</v>
      </c>
      <c r="C496" s="2091" t="s">
        <v>3094</v>
      </c>
      <c r="D496" s="2091" t="s">
        <v>3095</v>
      </c>
      <c r="E496" s="2091" t="s">
        <v>3096</v>
      </c>
      <c r="F496" s="2091" t="s">
        <v>2833</v>
      </c>
      <c r="G496" s="2091" t="s">
        <v>24</v>
      </c>
      <c r="H496" s="2091" t="s">
        <v>24</v>
      </c>
      <c r="I496" s="2091" t="s">
        <v>790</v>
      </c>
    </row>
    <row r="497" spans="1:9" ht="11.25" customHeight="1">
      <c r="A497" s="2091" t="s">
        <v>2181</v>
      </c>
      <c r="B497" s="2091" t="s">
        <v>14</v>
      </c>
      <c r="C497" s="2091" t="s">
        <v>3097</v>
      </c>
      <c r="D497" s="2091" t="s">
        <v>3098</v>
      </c>
      <c r="E497" s="2091" t="s">
        <v>3099</v>
      </c>
      <c r="F497" s="2091" t="s">
        <v>2429</v>
      </c>
      <c r="G497" s="2091" t="s">
        <v>24</v>
      </c>
      <c r="H497" s="2091" t="s">
        <v>24</v>
      </c>
      <c r="I497" s="2091" t="s">
        <v>790</v>
      </c>
    </row>
    <row r="498" spans="1:9" ht="11.25" customHeight="1">
      <c r="A498" s="2091" t="s">
        <v>2181</v>
      </c>
      <c r="B498" s="2091" t="s">
        <v>14</v>
      </c>
      <c r="C498" s="2091" t="s">
        <v>3107</v>
      </c>
      <c r="D498" s="2091" t="s">
        <v>3108</v>
      </c>
      <c r="E498" s="2091" t="s">
        <v>3109</v>
      </c>
      <c r="F498" s="2091" t="s">
        <v>2329</v>
      </c>
      <c r="G498" s="2091" t="s">
        <v>24</v>
      </c>
      <c r="H498" s="2091" t="s">
        <v>24</v>
      </c>
      <c r="I498" s="2091" t="s">
        <v>790</v>
      </c>
    </row>
    <row r="499" spans="1:9" ht="11.25" customHeight="1">
      <c r="A499" s="2091" t="s">
        <v>2181</v>
      </c>
      <c r="B499" s="2091" t="s">
        <v>14</v>
      </c>
      <c r="C499" s="2091" t="s">
        <v>3110</v>
      </c>
      <c r="D499" s="2091" t="s">
        <v>3111</v>
      </c>
      <c r="E499" s="2091" t="s">
        <v>3112</v>
      </c>
      <c r="F499" s="2091" t="s">
        <v>2189</v>
      </c>
      <c r="G499" s="2091" t="s">
        <v>24</v>
      </c>
      <c r="H499" s="2091" t="s">
        <v>24</v>
      </c>
      <c r="I499" s="2091" t="s">
        <v>790</v>
      </c>
    </row>
    <row r="500" spans="1:9" ht="11.25" customHeight="1">
      <c r="A500" s="2091" t="s">
        <v>2181</v>
      </c>
      <c r="B500" s="2091" t="s">
        <v>14</v>
      </c>
      <c r="C500" s="2091" t="s">
        <v>3128</v>
      </c>
      <c r="D500" s="2091" t="s">
        <v>3129</v>
      </c>
      <c r="E500" s="2091" t="s">
        <v>3130</v>
      </c>
      <c r="F500" s="2091" t="s">
        <v>2317</v>
      </c>
      <c r="G500" s="2091" t="s">
        <v>24</v>
      </c>
      <c r="H500" s="2091" t="s">
        <v>24</v>
      </c>
      <c r="I500" s="2091" t="s">
        <v>790</v>
      </c>
    </row>
    <row r="501" spans="1:9" ht="11.25" customHeight="1">
      <c r="A501" s="2091" t="s">
        <v>2181</v>
      </c>
      <c r="B501" s="2091" t="s">
        <v>14</v>
      </c>
      <c r="C501" s="2091" t="s">
        <v>3137</v>
      </c>
      <c r="D501" s="2091" t="s">
        <v>3138</v>
      </c>
      <c r="E501" s="2091" t="s">
        <v>3139</v>
      </c>
      <c r="F501" s="2091" t="s">
        <v>2185</v>
      </c>
      <c r="G501" s="2091" t="s">
        <v>24</v>
      </c>
      <c r="H501" s="2091" t="s">
        <v>24</v>
      </c>
      <c r="I501" s="2091" t="s">
        <v>790</v>
      </c>
    </row>
    <row r="502" spans="1:9" ht="11.25" customHeight="1">
      <c r="A502" s="2091" t="s">
        <v>2181</v>
      </c>
      <c r="B502" s="2091" t="s">
        <v>14</v>
      </c>
      <c r="C502" s="2091" t="s">
        <v>3153</v>
      </c>
      <c r="D502" s="2091" t="s">
        <v>3154</v>
      </c>
      <c r="E502" s="2091" t="s">
        <v>3155</v>
      </c>
      <c r="F502" s="2091" t="s">
        <v>2631</v>
      </c>
      <c r="G502" s="2091" t="s">
        <v>3156</v>
      </c>
      <c r="H502" s="2091" t="s">
        <v>24</v>
      </c>
      <c r="I502" s="2091" t="s">
        <v>790</v>
      </c>
    </row>
    <row r="503" spans="1:9" ht="11.25" customHeight="1">
      <c r="A503" s="2091" t="s">
        <v>2181</v>
      </c>
      <c r="B503" s="2091" t="s">
        <v>14</v>
      </c>
      <c r="C503" s="2091" t="s">
        <v>3157</v>
      </c>
      <c r="D503" s="2091" t="s">
        <v>3154</v>
      </c>
      <c r="E503" s="2091" t="s">
        <v>3158</v>
      </c>
      <c r="F503" s="2091" t="s">
        <v>2578</v>
      </c>
      <c r="G503" s="2091" t="s">
        <v>24</v>
      </c>
      <c r="H503" s="2091" t="s">
        <v>24</v>
      </c>
      <c r="I503" s="2091" t="s">
        <v>790</v>
      </c>
    </row>
    <row r="504" spans="1:9" ht="11.25" customHeight="1">
      <c r="A504" s="2091" t="s">
        <v>2181</v>
      </c>
      <c r="B504" s="2091" t="s">
        <v>14</v>
      </c>
      <c r="C504" s="2091" t="s">
        <v>3159</v>
      </c>
      <c r="D504" s="2091" t="s">
        <v>3154</v>
      </c>
      <c r="E504" s="2091" t="s">
        <v>3160</v>
      </c>
      <c r="F504" s="2091" t="s">
        <v>2343</v>
      </c>
      <c r="G504" s="2091" t="s">
        <v>24</v>
      </c>
      <c r="H504" s="2091" t="s">
        <v>24</v>
      </c>
      <c r="I504" s="2091" t="s">
        <v>790</v>
      </c>
    </row>
    <row r="505" spans="1:9" ht="11.25" customHeight="1">
      <c r="A505" s="2091" t="s">
        <v>2181</v>
      </c>
      <c r="B505" s="2091" t="s">
        <v>14</v>
      </c>
      <c r="C505" s="2091" t="s">
        <v>3161</v>
      </c>
      <c r="D505" s="2091" t="s">
        <v>3162</v>
      </c>
      <c r="E505" s="2091" t="s">
        <v>3163</v>
      </c>
      <c r="F505" s="2091" t="s">
        <v>3164</v>
      </c>
      <c r="G505" s="2091" t="s">
        <v>3165</v>
      </c>
      <c r="H505" s="2091" t="s">
        <v>24</v>
      </c>
      <c r="I505" s="2091" t="s">
        <v>790</v>
      </c>
    </row>
    <row r="506" spans="1:9" ht="11.25" customHeight="1">
      <c r="A506" s="2091" t="s">
        <v>2181</v>
      </c>
      <c r="B506" s="2091" t="s">
        <v>14</v>
      </c>
      <c r="C506" s="2091" t="s">
        <v>3166</v>
      </c>
      <c r="D506" s="2091" t="s">
        <v>3167</v>
      </c>
      <c r="E506" s="2091" t="s">
        <v>3168</v>
      </c>
      <c r="F506" s="2091" t="s">
        <v>2334</v>
      </c>
      <c r="G506" s="2091" t="s">
        <v>24</v>
      </c>
      <c r="H506" s="2091" t="s">
        <v>24</v>
      </c>
      <c r="I506" s="2091" t="s">
        <v>790</v>
      </c>
    </row>
    <row r="507" spans="1:9" ht="11.25" customHeight="1">
      <c r="A507" s="2091" t="s">
        <v>2181</v>
      </c>
      <c r="B507" s="2091" t="s">
        <v>14</v>
      </c>
      <c r="C507" s="2091" t="s">
        <v>3169</v>
      </c>
      <c r="D507" s="2091" t="s">
        <v>3170</v>
      </c>
      <c r="E507" s="2091" t="s">
        <v>3171</v>
      </c>
      <c r="F507" s="2091" t="s">
        <v>2383</v>
      </c>
      <c r="G507" s="2091" t="s">
        <v>24</v>
      </c>
      <c r="H507" s="2091" t="s">
        <v>24</v>
      </c>
      <c r="I507" s="2091" t="s">
        <v>790</v>
      </c>
    </row>
    <row r="508" spans="1:9" ht="11.25" customHeight="1">
      <c r="A508" s="2091" t="s">
        <v>2181</v>
      </c>
      <c r="B508" s="2091" t="s">
        <v>14</v>
      </c>
      <c r="C508" s="2091" t="s">
        <v>3178</v>
      </c>
      <c r="D508" s="2091" t="s">
        <v>3179</v>
      </c>
      <c r="E508" s="2091" t="s">
        <v>3180</v>
      </c>
      <c r="F508" s="2091" t="s">
        <v>2226</v>
      </c>
      <c r="G508" s="2091" t="s">
        <v>24</v>
      </c>
      <c r="H508" s="2091" t="s">
        <v>24</v>
      </c>
      <c r="I508" s="2091" t="s">
        <v>790</v>
      </c>
    </row>
    <row r="509" spans="1:9" ht="11.25" customHeight="1">
      <c r="A509" s="2091" t="s">
        <v>2181</v>
      </c>
      <c r="B509" s="2091" t="s">
        <v>14</v>
      </c>
      <c r="C509" s="2091" t="s">
        <v>3184</v>
      </c>
      <c r="D509" s="2091" t="s">
        <v>3185</v>
      </c>
      <c r="E509" s="2091" t="s">
        <v>3186</v>
      </c>
      <c r="F509" s="2091" t="s">
        <v>2226</v>
      </c>
      <c r="G509" s="2091" t="s">
        <v>24</v>
      </c>
      <c r="H509" s="2091" t="s">
        <v>24</v>
      </c>
      <c r="I509" s="2091" t="s">
        <v>790</v>
      </c>
    </row>
    <row r="510" spans="1:9" ht="11.25" customHeight="1">
      <c r="A510" s="2091" t="s">
        <v>2181</v>
      </c>
      <c r="B510" s="2091" t="s">
        <v>14</v>
      </c>
      <c r="C510" s="2091" t="s">
        <v>3187</v>
      </c>
      <c r="D510" s="2091" t="s">
        <v>3188</v>
      </c>
      <c r="E510" s="2091" t="s">
        <v>3189</v>
      </c>
      <c r="F510" s="2091" t="s">
        <v>2372</v>
      </c>
      <c r="G510" s="2091" t="s">
        <v>24</v>
      </c>
      <c r="H510" s="2091" t="s">
        <v>24</v>
      </c>
      <c r="I510" s="2091" t="s">
        <v>790</v>
      </c>
    </row>
    <row r="511" spans="1:9" ht="11.25" customHeight="1">
      <c r="A511" s="2091" t="s">
        <v>2181</v>
      </c>
      <c r="B511" s="2091" t="s">
        <v>14</v>
      </c>
      <c r="C511" s="2091" t="s">
        <v>3190</v>
      </c>
      <c r="D511" s="2091" t="s">
        <v>3191</v>
      </c>
      <c r="E511" s="2091" t="s">
        <v>3192</v>
      </c>
      <c r="F511" s="2091" t="s">
        <v>2492</v>
      </c>
      <c r="G511" s="2091" t="s">
        <v>24</v>
      </c>
      <c r="H511" s="2091" t="s">
        <v>24</v>
      </c>
      <c r="I511" s="2091" t="s">
        <v>790</v>
      </c>
    </row>
    <row r="512" spans="1:9" ht="11.25" customHeight="1">
      <c r="A512" s="2091" t="s">
        <v>2181</v>
      </c>
      <c r="B512" s="2091" t="s">
        <v>14</v>
      </c>
      <c r="C512" s="2091" t="s">
        <v>3193</v>
      </c>
      <c r="D512" s="2091" t="s">
        <v>3194</v>
      </c>
      <c r="E512" s="2091" t="s">
        <v>3195</v>
      </c>
      <c r="F512" s="2091" t="s">
        <v>2293</v>
      </c>
      <c r="G512" s="2091" t="s">
        <v>24</v>
      </c>
      <c r="H512" s="2091" t="s">
        <v>24</v>
      </c>
      <c r="I512" s="2091" t="s">
        <v>790</v>
      </c>
    </row>
    <row r="513" spans="1:9" ht="11.25" customHeight="1">
      <c r="A513" s="2091" t="s">
        <v>2181</v>
      </c>
      <c r="B513" s="2091" t="s">
        <v>14</v>
      </c>
      <c r="C513" s="2091" t="s">
        <v>3208</v>
      </c>
      <c r="D513" s="2091" t="s">
        <v>3209</v>
      </c>
      <c r="E513" s="2091" t="s">
        <v>3210</v>
      </c>
      <c r="F513" s="2091" t="s">
        <v>2343</v>
      </c>
      <c r="G513" s="2091" t="s">
        <v>24</v>
      </c>
      <c r="H513" s="2091" t="s">
        <v>24</v>
      </c>
      <c r="I513" s="2091" t="s">
        <v>790</v>
      </c>
    </row>
    <row r="514" spans="1:9" ht="11.25" customHeight="1">
      <c r="A514" s="2091" t="s">
        <v>2181</v>
      </c>
      <c r="B514" s="2091" t="s">
        <v>14</v>
      </c>
      <c r="C514" s="2091" t="s">
        <v>3214</v>
      </c>
      <c r="D514" s="2091" t="s">
        <v>3215</v>
      </c>
      <c r="E514" s="2091" t="s">
        <v>3216</v>
      </c>
      <c r="F514" s="2091" t="s">
        <v>2535</v>
      </c>
      <c r="G514" s="2091" t="s">
        <v>24</v>
      </c>
      <c r="H514" s="2091" t="s">
        <v>24</v>
      </c>
      <c r="I514" s="2091" t="s">
        <v>790</v>
      </c>
    </row>
    <row r="515" spans="1:9" ht="11.25" customHeight="1">
      <c r="A515" s="2091" t="s">
        <v>2181</v>
      </c>
      <c r="B515" s="2091" t="s">
        <v>14</v>
      </c>
      <c r="C515" s="2091" t="s">
        <v>3217</v>
      </c>
      <c r="D515" s="2091" t="s">
        <v>3218</v>
      </c>
      <c r="E515" s="2091" t="s">
        <v>3219</v>
      </c>
      <c r="F515" s="2091" t="s">
        <v>2226</v>
      </c>
      <c r="G515" s="2091" t="s">
        <v>24</v>
      </c>
      <c r="H515" s="2091" t="s">
        <v>24</v>
      </c>
      <c r="I515" s="2091" t="s">
        <v>790</v>
      </c>
    </row>
    <row r="516" spans="1:9" ht="11.25" customHeight="1">
      <c r="A516" s="2091" t="s">
        <v>2181</v>
      </c>
      <c r="B516" s="2091" t="s">
        <v>14</v>
      </c>
      <c r="C516" s="2091" t="s">
        <v>3220</v>
      </c>
      <c r="D516" s="2091" t="s">
        <v>3221</v>
      </c>
      <c r="E516" s="2091" t="s">
        <v>3222</v>
      </c>
      <c r="F516" s="2091" t="s">
        <v>2365</v>
      </c>
      <c r="G516" s="2091" t="s">
        <v>24</v>
      </c>
      <c r="H516" s="2091" t="s">
        <v>24</v>
      </c>
      <c r="I516" s="2091" t="s">
        <v>790</v>
      </c>
    </row>
    <row r="517" spans="1:9" ht="11.25" customHeight="1">
      <c r="A517" s="2091" t="s">
        <v>2181</v>
      </c>
      <c r="B517" s="2091" t="s">
        <v>14</v>
      </c>
      <c r="C517" s="2091" t="s">
        <v>3223</v>
      </c>
      <c r="D517" s="2091" t="s">
        <v>3224</v>
      </c>
      <c r="E517" s="2091" t="s">
        <v>3225</v>
      </c>
      <c r="F517" s="2091" t="s">
        <v>2334</v>
      </c>
      <c r="G517" s="2091" t="s">
        <v>24</v>
      </c>
      <c r="H517" s="2091" t="s">
        <v>24</v>
      </c>
      <c r="I517" s="2091" t="s">
        <v>790</v>
      </c>
    </row>
    <row r="518" spans="1:9" ht="11.25" customHeight="1">
      <c r="A518" s="2091" t="s">
        <v>2181</v>
      </c>
      <c r="B518" s="2091" t="s">
        <v>14</v>
      </c>
      <c r="C518" s="2091" t="s">
        <v>3233</v>
      </c>
      <c r="D518" s="2091" t="s">
        <v>3234</v>
      </c>
      <c r="E518" s="2091" t="s">
        <v>3235</v>
      </c>
      <c r="F518" s="2091" t="s">
        <v>2273</v>
      </c>
      <c r="G518" s="2091" t="s">
        <v>3236</v>
      </c>
      <c r="H518" s="2091" t="s">
        <v>24</v>
      </c>
      <c r="I518" s="2091" t="s">
        <v>790</v>
      </c>
    </row>
    <row r="519" spans="1:9" ht="11.25" customHeight="1">
      <c r="A519" s="2091" t="s">
        <v>2181</v>
      </c>
      <c r="B519" s="2091" t="s">
        <v>14</v>
      </c>
      <c r="C519" s="2091" t="s">
        <v>3237</v>
      </c>
      <c r="D519" s="2091" t="s">
        <v>3238</v>
      </c>
      <c r="E519" s="2091" t="s">
        <v>3239</v>
      </c>
      <c r="F519" s="2091" t="s">
        <v>2194</v>
      </c>
      <c r="G519" s="2091" t="s">
        <v>24</v>
      </c>
      <c r="H519" s="2091" t="s">
        <v>24</v>
      </c>
      <c r="I519" s="2091" t="s">
        <v>790</v>
      </c>
    </row>
    <row r="520" spans="1:9" ht="11.25" customHeight="1">
      <c r="A520" s="2091" t="s">
        <v>2181</v>
      </c>
      <c r="B520" s="2091" t="s">
        <v>14</v>
      </c>
      <c r="C520" s="2091" t="s">
        <v>3240</v>
      </c>
      <c r="D520" s="2091" t="s">
        <v>3241</v>
      </c>
      <c r="E520" s="2091" t="s">
        <v>3242</v>
      </c>
      <c r="F520" s="2091" t="s">
        <v>2343</v>
      </c>
      <c r="G520" s="2091" t="s">
        <v>24</v>
      </c>
      <c r="H520" s="2091" t="s">
        <v>24</v>
      </c>
      <c r="I520" s="2091" t="s">
        <v>790</v>
      </c>
    </row>
    <row r="521" spans="1:9" ht="11.25" customHeight="1">
      <c r="A521" s="2091" t="s">
        <v>2181</v>
      </c>
      <c r="B521" s="2091" t="s">
        <v>14</v>
      </c>
      <c r="C521" s="2091" t="s">
        <v>3243</v>
      </c>
      <c r="D521" s="2091" t="s">
        <v>3244</v>
      </c>
      <c r="E521" s="2091" t="s">
        <v>3245</v>
      </c>
      <c r="F521" s="2091" t="s">
        <v>2365</v>
      </c>
      <c r="G521" s="2091" t="s">
        <v>3246</v>
      </c>
      <c r="H521" s="2091" t="s">
        <v>24</v>
      </c>
      <c r="I521" s="2091" t="s">
        <v>790</v>
      </c>
    </row>
    <row r="522" spans="1:9" ht="11.25" customHeight="1">
      <c r="A522" s="2091" t="s">
        <v>2181</v>
      </c>
      <c r="B522" s="2091" t="s">
        <v>14</v>
      </c>
      <c r="C522" s="2091" t="s">
        <v>3250</v>
      </c>
      <c r="D522" s="2091" t="s">
        <v>3251</v>
      </c>
      <c r="E522" s="2091" t="s">
        <v>3252</v>
      </c>
      <c r="F522" s="2091" t="s">
        <v>2405</v>
      </c>
      <c r="G522" s="2091" t="s">
        <v>24</v>
      </c>
      <c r="H522" s="2091" t="s">
        <v>24</v>
      </c>
      <c r="I522" s="2091" t="s">
        <v>790</v>
      </c>
    </row>
    <row r="523" spans="1:9" ht="11.25" customHeight="1">
      <c r="A523" s="2091" t="s">
        <v>2181</v>
      </c>
      <c r="B523" s="2091" t="s">
        <v>14</v>
      </c>
      <c r="C523" s="2091" t="s">
        <v>3253</v>
      </c>
      <c r="D523" s="2091" t="s">
        <v>3254</v>
      </c>
      <c r="E523" s="2091" t="s">
        <v>3255</v>
      </c>
      <c r="F523" s="2091" t="s">
        <v>2273</v>
      </c>
      <c r="G523" s="2091" t="s">
        <v>24</v>
      </c>
      <c r="H523" s="2091" t="s">
        <v>24</v>
      </c>
      <c r="I523" s="2091" t="s">
        <v>790</v>
      </c>
    </row>
    <row r="524" spans="1:9" ht="11.25" customHeight="1">
      <c r="A524" s="2091" t="s">
        <v>2181</v>
      </c>
      <c r="B524" s="2091" t="s">
        <v>14</v>
      </c>
      <c r="C524" s="2091" t="s">
        <v>3256</v>
      </c>
      <c r="D524" s="2091" t="s">
        <v>3257</v>
      </c>
      <c r="E524" s="2091" t="s">
        <v>3258</v>
      </c>
      <c r="F524" s="2091" t="s">
        <v>2317</v>
      </c>
      <c r="G524" s="2091" t="s">
        <v>24</v>
      </c>
      <c r="H524" s="2091" t="s">
        <v>24</v>
      </c>
      <c r="I524" s="2091" t="s">
        <v>790</v>
      </c>
    </row>
    <row r="525" spans="1:9" ht="11.25" customHeight="1">
      <c r="A525" s="2091" t="s">
        <v>2181</v>
      </c>
      <c r="B525" s="2091" t="s">
        <v>14</v>
      </c>
      <c r="C525" s="2091" t="s">
        <v>3259</v>
      </c>
      <c r="D525" s="2091" t="s">
        <v>3260</v>
      </c>
      <c r="E525" s="2091" t="s">
        <v>3261</v>
      </c>
      <c r="F525" s="2091" t="s">
        <v>2317</v>
      </c>
      <c r="G525" s="2091" t="s">
        <v>24</v>
      </c>
      <c r="H525" s="2091" t="s">
        <v>24</v>
      </c>
      <c r="I525" s="2091" t="s">
        <v>790</v>
      </c>
    </row>
    <row r="526" spans="1:9" ht="11.25" customHeight="1">
      <c r="A526" s="2091" t="s">
        <v>2181</v>
      </c>
      <c r="B526" s="2091" t="s">
        <v>14</v>
      </c>
      <c r="C526" s="2091" t="s">
        <v>3265</v>
      </c>
      <c r="D526" s="2091" t="s">
        <v>3266</v>
      </c>
      <c r="E526" s="2091" t="s">
        <v>3267</v>
      </c>
      <c r="F526" s="2091" t="s">
        <v>2194</v>
      </c>
      <c r="G526" s="2091" t="s">
        <v>24</v>
      </c>
      <c r="H526" s="2091" t="s">
        <v>24</v>
      </c>
      <c r="I526" s="2091" t="s">
        <v>790</v>
      </c>
    </row>
    <row r="527" spans="1:9" ht="11.25" customHeight="1">
      <c r="A527" s="2091" t="s">
        <v>2181</v>
      </c>
      <c r="B527" s="2091" t="s">
        <v>14</v>
      </c>
      <c r="C527" s="2091" t="s">
        <v>3268</v>
      </c>
      <c r="D527" s="2091" t="s">
        <v>3269</v>
      </c>
      <c r="E527" s="2091" t="s">
        <v>3270</v>
      </c>
      <c r="F527" s="2091" t="s">
        <v>2578</v>
      </c>
      <c r="G527" s="2091" t="s">
        <v>24</v>
      </c>
      <c r="H527" s="2091" t="s">
        <v>24</v>
      </c>
      <c r="I527" s="2091" t="s">
        <v>790</v>
      </c>
    </row>
    <row r="528" spans="1:9" ht="11.25" customHeight="1">
      <c r="A528" s="2091" t="s">
        <v>2181</v>
      </c>
      <c r="B528" s="2091" t="s">
        <v>14</v>
      </c>
      <c r="C528" s="2091" t="s">
        <v>3271</v>
      </c>
      <c r="D528" s="2091" t="s">
        <v>3272</v>
      </c>
      <c r="E528" s="2091" t="s">
        <v>3273</v>
      </c>
      <c r="F528" s="2091" t="s">
        <v>2709</v>
      </c>
      <c r="G528" s="2091" t="s">
        <v>24</v>
      </c>
      <c r="H528" s="2091" t="s">
        <v>24</v>
      </c>
      <c r="I528" s="2091" t="s">
        <v>790</v>
      </c>
    </row>
    <row r="529" spans="1:9" ht="11.25" customHeight="1">
      <c r="A529" s="2091" t="s">
        <v>2181</v>
      </c>
      <c r="B529" s="2091" t="s">
        <v>14</v>
      </c>
      <c r="C529" s="2091" t="s">
        <v>3274</v>
      </c>
      <c r="D529" s="2091" t="s">
        <v>3275</v>
      </c>
      <c r="E529" s="2091" t="s">
        <v>3276</v>
      </c>
      <c r="F529" s="2091" t="s">
        <v>2218</v>
      </c>
      <c r="G529" s="2091" t="s">
        <v>24</v>
      </c>
      <c r="H529" s="2091" t="s">
        <v>3277</v>
      </c>
      <c r="I529" s="2091" t="s">
        <v>790</v>
      </c>
    </row>
    <row r="530" spans="1:9" ht="11.25" customHeight="1">
      <c r="A530" s="2091" t="s">
        <v>2181</v>
      </c>
      <c r="B530" s="2091" t="s">
        <v>14</v>
      </c>
      <c r="C530" s="2091" t="s">
        <v>3286</v>
      </c>
      <c r="D530" s="2091" t="s">
        <v>46</v>
      </c>
      <c r="E530" s="2091" t="s">
        <v>49</v>
      </c>
      <c r="F530" s="2091" t="s">
        <v>51</v>
      </c>
      <c r="G530" s="2091" t="s">
        <v>2190</v>
      </c>
      <c r="H530" s="2091" t="s">
        <v>24</v>
      </c>
      <c r="I530" s="2091" t="s">
        <v>790</v>
      </c>
    </row>
    <row r="531" spans="1:9" ht="11.25" customHeight="1">
      <c r="A531" s="2091" t="s">
        <v>2181</v>
      </c>
      <c r="B531" s="2091" t="s">
        <v>14</v>
      </c>
      <c r="C531" s="2091" t="s">
        <v>3287</v>
      </c>
      <c r="D531" s="2091" t="s">
        <v>3288</v>
      </c>
      <c r="E531" s="2091" t="s">
        <v>3289</v>
      </c>
      <c r="F531" s="2091" t="s">
        <v>3290</v>
      </c>
      <c r="G531" s="2091" t="s">
        <v>24</v>
      </c>
      <c r="H531" s="2091" t="s">
        <v>24</v>
      </c>
      <c r="I531" s="2091" t="s">
        <v>790</v>
      </c>
    </row>
    <row r="532" spans="1:9" ht="11.25" customHeight="1">
      <c r="A532" s="2091" t="s">
        <v>2181</v>
      </c>
      <c r="B532" s="2091" t="s">
        <v>14</v>
      </c>
      <c r="C532" s="2091" t="s">
        <v>3291</v>
      </c>
      <c r="D532" s="2091" t="s">
        <v>3292</v>
      </c>
      <c r="E532" s="2091" t="s">
        <v>3293</v>
      </c>
      <c r="F532" s="2091" t="s">
        <v>2338</v>
      </c>
      <c r="G532" s="2091" t="s">
        <v>24</v>
      </c>
      <c r="H532" s="2091" t="s">
        <v>24</v>
      </c>
      <c r="I532" s="2091" t="s">
        <v>790</v>
      </c>
    </row>
    <row r="533" spans="1:9" ht="11.25" customHeight="1">
      <c r="A533" s="2091" t="s">
        <v>2181</v>
      </c>
      <c r="B533" s="2091" t="s">
        <v>14</v>
      </c>
      <c r="C533" s="2091" t="s">
        <v>3297</v>
      </c>
      <c r="D533" s="2091" t="s">
        <v>3298</v>
      </c>
      <c r="E533" s="2091" t="s">
        <v>3299</v>
      </c>
      <c r="F533" s="2091" t="s">
        <v>2198</v>
      </c>
      <c r="G533" s="2091" t="s">
        <v>24</v>
      </c>
      <c r="H533" s="2091" t="s">
        <v>24</v>
      </c>
      <c r="I533" s="2091" t="s">
        <v>790</v>
      </c>
    </row>
    <row r="534" spans="1:9" ht="11.25" customHeight="1">
      <c r="A534" s="2091" t="s">
        <v>2181</v>
      </c>
      <c r="B534" s="2091" t="s">
        <v>14</v>
      </c>
      <c r="C534" s="2091" t="s">
        <v>3300</v>
      </c>
      <c r="D534" s="2091" t="s">
        <v>3301</v>
      </c>
      <c r="E534" s="2091" t="s">
        <v>3302</v>
      </c>
      <c r="F534" s="2091" t="s">
        <v>3303</v>
      </c>
      <c r="G534" s="2091" t="s">
        <v>24</v>
      </c>
      <c r="H534" s="2091" t="s">
        <v>24</v>
      </c>
      <c r="I534" s="2091" t="s">
        <v>790</v>
      </c>
    </row>
    <row r="535" spans="1:9" ht="11.25" customHeight="1">
      <c r="A535" s="2091" t="s">
        <v>2181</v>
      </c>
      <c r="B535" s="2091" t="s">
        <v>14</v>
      </c>
      <c r="C535" s="2091" t="s">
        <v>3308</v>
      </c>
      <c r="D535" s="2091" t="s">
        <v>3309</v>
      </c>
      <c r="E535" s="2091" t="s">
        <v>3310</v>
      </c>
      <c r="F535" s="2091" t="s">
        <v>2424</v>
      </c>
      <c r="G535" s="2091" t="s">
        <v>3311</v>
      </c>
      <c r="H535" s="2091" t="s">
        <v>24</v>
      </c>
      <c r="I535" s="2091" t="s">
        <v>790</v>
      </c>
    </row>
    <row r="536" spans="1:9" ht="11.25" customHeight="1">
      <c r="A536" s="2091" t="s">
        <v>2181</v>
      </c>
      <c r="B536" s="2091" t="s">
        <v>14</v>
      </c>
      <c r="C536" s="2091" t="s">
        <v>3320</v>
      </c>
      <c r="D536" s="2091" t="s">
        <v>3321</v>
      </c>
      <c r="E536" s="2091" t="s">
        <v>3322</v>
      </c>
      <c r="F536" s="2091" t="s">
        <v>2468</v>
      </c>
      <c r="G536" s="2091" t="s">
        <v>24</v>
      </c>
      <c r="H536" s="2091" t="s">
        <v>24</v>
      </c>
      <c r="I536" s="2091" t="s">
        <v>790</v>
      </c>
    </row>
    <row r="537" spans="1:9" ht="11.25" customHeight="1">
      <c r="A537" s="2091" t="s">
        <v>2181</v>
      </c>
      <c r="B537" s="2091" t="s">
        <v>14</v>
      </c>
      <c r="C537" s="2091" t="s">
        <v>3326</v>
      </c>
      <c r="D537" s="2091" t="s">
        <v>3327</v>
      </c>
      <c r="E537" s="2091" t="s">
        <v>3328</v>
      </c>
      <c r="F537" s="2091" t="s">
        <v>2218</v>
      </c>
      <c r="G537" s="2091" t="s">
        <v>3329</v>
      </c>
      <c r="H537" s="2091" t="s">
        <v>24</v>
      </c>
      <c r="I537" s="2091" t="s">
        <v>790</v>
      </c>
    </row>
    <row r="538" spans="1:9" ht="11.25" customHeight="1">
      <c r="A538" s="2091" t="s">
        <v>2181</v>
      </c>
      <c r="B538" s="2091" t="s">
        <v>14</v>
      </c>
      <c r="C538" s="2091" t="s">
        <v>3330</v>
      </c>
      <c r="D538" s="2091" t="s">
        <v>3331</v>
      </c>
      <c r="E538" s="2091" t="s">
        <v>3332</v>
      </c>
      <c r="F538" s="2091" t="s">
        <v>3333</v>
      </c>
      <c r="G538" s="2091" t="s">
        <v>3334</v>
      </c>
      <c r="H538" s="2091" t="s">
        <v>24</v>
      </c>
      <c r="I538" s="2091" t="s">
        <v>790</v>
      </c>
    </row>
    <row r="539" spans="1:9" ht="11.25" customHeight="1">
      <c r="A539" s="2091" t="s">
        <v>2181</v>
      </c>
      <c r="B539" s="2091" t="s">
        <v>14</v>
      </c>
      <c r="C539" s="2091" t="s">
        <v>3342</v>
      </c>
      <c r="D539" s="2091" t="s">
        <v>3343</v>
      </c>
      <c r="E539" s="2091" t="s">
        <v>3306</v>
      </c>
      <c r="F539" s="2091" t="s">
        <v>3344</v>
      </c>
      <c r="G539" s="2091" t="s">
        <v>24</v>
      </c>
      <c r="H539" s="2091" t="s">
        <v>24</v>
      </c>
      <c r="I539" s="2091" t="s">
        <v>790</v>
      </c>
    </row>
    <row r="540" spans="1:9" ht="11.25" customHeight="1">
      <c r="A540" s="2091" t="s">
        <v>2181</v>
      </c>
      <c r="B540" s="2091" t="s">
        <v>14</v>
      </c>
      <c r="C540" s="2091" t="s">
        <v>3345</v>
      </c>
      <c r="D540" s="2091" t="s">
        <v>3346</v>
      </c>
      <c r="E540" s="2091" t="s">
        <v>2229</v>
      </c>
      <c r="F540" s="2091" t="s">
        <v>2401</v>
      </c>
      <c r="G540" s="2091" t="s">
        <v>3347</v>
      </c>
      <c r="H540" s="2091" t="s">
        <v>24</v>
      </c>
      <c r="I540" s="2091" t="s">
        <v>790</v>
      </c>
    </row>
    <row r="541" spans="1:9" ht="11.25" customHeight="1">
      <c r="A541" s="2091" t="s">
        <v>2181</v>
      </c>
      <c r="B541" s="2091" t="s">
        <v>14</v>
      </c>
      <c r="C541" s="2091" t="s">
        <v>3348</v>
      </c>
      <c r="D541" s="2091" t="s">
        <v>3349</v>
      </c>
      <c r="E541" s="2091" t="s">
        <v>3350</v>
      </c>
      <c r="F541" s="2091" t="s">
        <v>3351</v>
      </c>
      <c r="G541" s="2091" t="s">
        <v>24</v>
      </c>
      <c r="H541" s="2091" t="s">
        <v>24</v>
      </c>
      <c r="I541" s="2091" t="s">
        <v>790</v>
      </c>
    </row>
    <row r="542" spans="1:9" ht="11.25" customHeight="1">
      <c r="A542" s="2091" t="s">
        <v>2181</v>
      </c>
      <c r="B542" s="2091" t="s">
        <v>14</v>
      </c>
      <c r="C542" s="2091" t="s">
        <v>2182</v>
      </c>
      <c r="D542" s="2091" t="s">
        <v>2183</v>
      </c>
      <c r="E542" s="2091" t="s">
        <v>2184</v>
      </c>
      <c r="F542" s="2091" t="s">
        <v>2185</v>
      </c>
      <c r="G542" s="2091" t="s">
        <v>24</v>
      </c>
      <c r="H542" s="2091" t="s">
        <v>24</v>
      </c>
      <c r="I542" s="2091" t="s">
        <v>752</v>
      </c>
    </row>
    <row r="543" spans="1:9" ht="11.25" customHeight="1">
      <c r="A543" s="2091" t="s">
        <v>2181</v>
      </c>
      <c r="B543" s="2091" t="s">
        <v>14</v>
      </c>
      <c r="C543" s="2091" t="s">
        <v>2186</v>
      </c>
      <c r="D543" s="2091" t="s">
        <v>2187</v>
      </c>
      <c r="E543" s="2091" t="s">
        <v>2188</v>
      </c>
      <c r="F543" s="2091" t="s">
        <v>2189</v>
      </c>
      <c r="G543" s="2091" t="s">
        <v>2190</v>
      </c>
      <c r="H543" s="2091" t="s">
        <v>24</v>
      </c>
      <c r="I543" s="2091" t="s">
        <v>752</v>
      </c>
    </row>
    <row r="544" spans="1:9" ht="11.25" customHeight="1">
      <c r="A544" s="2091" t="s">
        <v>2181</v>
      </c>
      <c r="B544" s="2091" t="s">
        <v>14</v>
      </c>
      <c r="C544" s="2091" t="s">
        <v>2195</v>
      </c>
      <c r="D544" s="2091" t="s">
        <v>2196</v>
      </c>
      <c r="E544" s="2091" t="s">
        <v>2197</v>
      </c>
      <c r="F544" s="2091" t="s">
        <v>2198</v>
      </c>
      <c r="G544" s="2091" t="s">
        <v>2199</v>
      </c>
      <c r="H544" s="2091" t="s">
        <v>24</v>
      </c>
      <c r="I544" s="2091" t="s">
        <v>752</v>
      </c>
    </row>
    <row r="545" spans="1:9" ht="11.25" customHeight="1">
      <c r="A545" s="2091" t="s">
        <v>2181</v>
      </c>
      <c r="B545" s="2091" t="s">
        <v>14</v>
      </c>
      <c r="C545" s="2091" t="s">
        <v>2200</v>
      </c>
      <c r="D545" s="2091" t="s">
        <v>2201</v>
      </c>
      <c r="E545" s="2091" t="s">
        <v>2202</v>
      </c>
      <c r="F545" s="2091" t="s">
        <v>2203</v>
      </c>
      <c r="G545" s="2091" t="s">
        <v>2204</v>
      </c>
      <c r="H545" s="2091" t="s">
        <v>24</v>
      </c>
      <c r="I545" s="2091" t="s">
        <v>752</v>
      </c>
    </row>
    <row r="546" spans="1:9" ht="11.25" customHeight="1">
      <c r="A546" s="2091" t="s">
        <v>2181</v>
      </c>
      <c r="B546" s="2091" t="s">
        <v>14</v>
      </c>
      <c r="C546" s="2091" t="s">
        <v>2210</v>
      </c>
      <c r="D546" s="2091" t="s">
        <v>2211</v>
      </c>
      <c r="E546" s="2091" t="s">
        <v>2212</v>
      </c>
      <c r="F546" s="2091" t="s">
        <v>2213</v>
      </c>
      <c r="G546" s="2091" t="s">
        <v>2214</v>
      </c>
      <c r="H546" s="2091" t="s">
        <v>24</v>
      </c>
      <c r="I546" s="2091" t="s">
        <v>752</v>
      </c>
    </row>
    <row r="547" spans="1:9" ht="11.25" customHeight="1">
      <c r="A547" s="2091" t="s">
        <v>2181</v>
      </c>
      <c r="B547" s="2091" t="s">
        <v>14</v>
      </c>
      <c r="C547" s="2091" t="s">
        <v>3373</v>
      </c>
      <c r="D547" s="2091" t="s">
        <v>3374</v>
      </c>
      <c r="E547" s="2091" t="s">
        <v>2212</v>
      </c>
      <c r="F547" s="2091" t="s">
        <v>3375</v>
      </c>
      <c r="G547" s="2091" t="s">
        <v>3376</v>
      </c>
      <c r="H547" s="2091" t="s">
        <v>24</v>
      </c>
      <c r="I547" s="2091" t="s">
        <v>752</v>
      </c>
    </row>
    <row r="548" spans="1:9" ht="11.25" customHeight="1">
      <c r="A548" s="2091" t="s">
        <v>2181</v>
      </c>
      <c r="B548" s="2091" t="s">
        <v>14</v>
      </c>
      <c r="C548" s="2091" t="s">
        <v>2215</v>
      </c>
      <c r="D548" s="2091" t="s">
        <v>2216</v>
      </c>
      <c r="E548" s="2091" t="s">
        <v>2217</v>
      </c>
      <c r="F548" s="2091" t="s">
        <v>2218</v>
      </c>
      <c r="G548" s="2091" t="s">
        <v>24</v>
      </c>
      <c r="H548" s="2091" t="s">
        <v>24</v>
      </c>
      <c r="I548" s="2091" t="s">
        <v>752</v>
      </c>
    </row>
    <row r="549" spans="1:9" ht="11.25" customHeight="1">
      <c r="A549" s="2091" t="s">
        <v>2181</v>
      </c>
      <c r="B549" s="2091" t="s">
        <v>14</v>
      </c>
      <c r="C549" s="2091" t="s">
        <v>2223</v>
      </c>
      <c r="D549" s="2091" t="s">
        <v>2224</v>
      </c>
      <c r="E549" s="2091" t="s">
        <v>2225</v>
      </c>
      <c r="F549" s="2091" t="s">
        <v>2226</v>
      </c>
      <c r="G549" s="2091" t="s">
        <v>24</v>
      </c>
      <c r="H549" s="2091" t="s">
        <v>24</v>
      </c>
      <c r="I549" s="2091" t="s">
        <v>752</v>
      </c>
    </row>
    <row r="550" spans="1:9" ht="11.25" customHeight="1">
      <c r="A550" s="2091" t="s">
        <v>2181</v>
      </c>
      <c r="B550" s="2091" t="s">
        <v>14</v>
      </c>
      <c r="C550" s="2091" t="s">
        <v>2227</v>
      </c>
      <c r="D550" s="2091" t="s">
        <v>2228</v>
      </c>
      <c r="E550" s="2091" t="s">
        <v>2229</v>
      </c>
      <c r="F550" s="2091" t="s">
        <v>2222</v>
      </c>
      <c r="G550" s="2091" t="s">
        <v>2230</v>
      </c>
      <c r="H550" s="2091" t="s">
        <v>24</v>
      </c>
      <c r="I550" s="2091" t="s">
        <v>752</v>
      </c>
    </row>
    <row r="551" spans="1:9" ht="11.25" customHeight="1">
      <c r="A551" s="2091" t="s">
        <v>2181</v>
      </c>
      <c r="B551" s="2091" t="s">
        <v>14</v>
      </c>
      <c r="C551" s="2091" t="s">
        <v>2231</v>
      </c>
      <c r="D551" s="2091" t="s">
        <v>2232</v>
      </c>
      <c r="E551" s="2091" t="s">
        <v>2233</v>
      </c>
      <c r="F551" s="2091" t="s">
        <v>2185</v>
      </c>
      <c r="G551" s="2091" t="s">
        <v>2234</v>
      </c>
      <c r="H551" s="2091" t="s">
        <v>2235</v>
      </c>
      <c r="I551" s="2091" t="s">
        <v>752</v>
      </c>
    </row>
    <row r="552" spans="1:9" ht="11.25" customHeight="1">
      <c r="A552" s="2091" t="s">
        <v>2181</v>
      </c>
      <c r="B552" s="2091" t="s">
        <v>14</v>
      </c>
      <c r="C552" s="2091" t="s">
        <v>2240</v>
      </c>
      <c r="D552" s="2091" t="s">
        <v>2241</v>
      </c>
      <c r="E552" s="2091" t="s">
        <v>2238</v>
      </c>
      <c r="F552" s="2091" t="s">
        <v>2242</v>
      </c>
      <c r="G552" s="2091" t="s">
        <v>2243</v>
      </c>
      <c r="H552" s="2091" t="s">
        <v>24</v>
      </c>
      <c r="I552" s="2091" t="s">
        <v>752</v>
      </c>
    </row>
    <row r="553" spans="1:9" ht="11.25" customHeight="1">
      <c r="A553" s="2091" t="s">
        <v>2181</v>
      </c>
      <c r="B553" s="2091" t="s">
        <v>14</v>
      </c>
      <c r="C553" s="2091" t="s">
        <v>2247</v>
      </c>
      <c r="D553" s="2091" t="s">
        <v>2248</v>
      </c>
      <c r="E553" s="2091" t="s">
        <v>2249</v>
      </c>
      <c r="F553" s="2091" t="s">
        <v>2250</v>
      </c>
      <c r="G553" s="2091" t="s">
        <v>2251</v>
      </c>
      <c r="H553" s="2091" t="s">
        <v>24</v>
      </c>
      <c r="I553" s="2091" t="s">
        <v>752</v>
      </c>
    </row>
    <row r="554" spans="1:9" ht="11.25" customHeight="1">
      <c r="A554" s="2091" t="s">
        <v>2181</v>
      </c>
      <c r="B554" s="2091" t="s">
        <v>14</v>
      </c>
      <c r="C554" s="2091" t="s">
        <v>2252</v>
      </c>
      <c r="D554" s="2091" t="s">
        <v>2253</v>
      </c>
      <c r="E554" s="2091" t="s">
        <v>2254</v>
      </c>
      <c r="F554" s="2091" t="s">
        <v>2255</v>
      </c>
      <c r="G554" s="2091" t="s">
        <v>2256</v>
      </c>
      <c r="H554" s="2091" t="s">
        <v>24</v>
      </c>
      <c r="I554" s="2091" t="s">
        <v>752</v>
      </c>
    </row>
    <row r="555" spans="1:9" ht="11.25" customHeight="1">
      <c r="A555" s="2091" t="s">
        <v>2181</v>
      </c>
      <c r="B555" s="2091" t="s">
        <v>14</v>
      </c>
      <c r="C555" s="2091" t="s">
        <v>2257</v>
      </c>
      <c r="D555" s="2091" t="s">
        <v>2258</v>
      </c>
      <c r="E555" s="2091" t="s">
        <v>2259</v>
      </c>
      <c r="F555" s="2091" t="s">
        <v>2260</v>
      </c>
      <c r="G555" s="2091" t="s">
        <v>2261</v>
      </c>
      <c r="H555" s="2091" t="s">
        <v>24</v>
      </c>
      <c r="I555" s="2091" t="s">
        <v>752</v>
      </c>
    </row>
    <row r="556" spans="1:9" ht="11.25" customHeight="1">
      <c r="A556" s="2091" t="s">
        <v>2181</v>
      </c>
      <c r="B556" s="2091" t="s">
        <v>14</v>
      </c>
      <c r="C556" s="2091" t="s">
        <v>2265</v>
      </c>
      <c r="D556" s="2091" t="s">
        <v>2266</v>
      </c>
      <c r="E556" s="2091" t="s">
        <v>2267</v>
      </c>
      <c r="F556" s="2091" t="s">
        <v>2268</v>
      </c>
      <c r="G556" s="2091" t="s">
        <v>2269</v>
      </c>
      <c r="H556" s="2091" t="s">
        <v>24</v>
      </c>
      <c r="I556" s="2091" t="s">
        <v>752</v>
      </c>
    </row>
    <row r="557" spans="1:9" ht="11.25" customHeight="1">
      <c r="A557" s="2091" t="s">
        <v>2181</v>
      </c>
      <c r="B557" s="2091" t="s">
        <v>14</v>
      </c>
      <c r="C557" s="2091" t="s">
        <v>2270</v>
      </c>
      <c r="D557" s="2091" t="s">
        <v>2271</v>
      </c>
      <c r="E557" s="2091" t="s">
        <v>2272</v>
      </c>
      <c r="F557" s="2091" t="s">
        <v>2273</v>
      </c>
      <c r="G557" s="2091" t="s">
        <v>2274</v>
      </c>
      <c r="H557" s="2091" t="s">
        <v>24</v>
      </c>
      <c r="I557" s="2091" t="s">
        <v>752</v>
      </c>
    </row>
    <row r="558" spans="1:9" ht="11.25" customHeight="1">
      <c r="A558" s="2091" t="s">
        <v>2181</v>
      </c>
      <c r="B558" s="2091" t="s">
        <v>14</v>
      </c>
      <c r="C558" s="2091" t="s">
        <v>3377</v>
      </c>
      <c r="D558" s="2091" t="s">
        <v>3378</v>
      </c>
      <c r="E558" s="2091" t="s">
        <v>3379</v>
      </c>
      <c r="F558" s="2091" t="s">
        <v>2250</v>
      </c>
      <c r="G558" s="2091" t="s">
        <v>3380</v>
      </c>
      <c r="H558" s="2091" t="s">
        <v>24</v>
      </c>
      <c r="I558" s="2091" t="s">
        <v>752</v>
      </c>
    </row>
    <row r="559" spans="1:9" ht="11.25" customHeight="1">
      <c r="A559" s="2091" t="s">
        <v>2181</v>
      </c>
      <c r="B559" s="2091" t="s">
        <v>14</v>
      </c>
      <c r="C559" s="2091" t="s">
        <v>2275</v>
      </c>
      <c r="D559" s="2091" t="s">
        <v>2276</v>
      </c>
      <c r="E559" s="2091" t="s">
        <v>2277</v>
      </c>
      <c r="F559" s="2091" t="s">
        <v>2278</v>
      </c>
      <c r="G559" s="2091" t="s">
        <v>2279</v>
      </c>
      <c r="H559" s="2091" t="s">
        <v>24</v>
      </c>
      <c r="I559" s="2091" t="s">
        <v>752</v>
      </c>
    </row>
    <row r="560" spans="1:9" ht="11.25" customHeight="1">
      <c r="A560" s="2091" t="s">
        <v>2181</v>
      </c>
      <c r="B560" s="2091" t="s">
        <v>14</v>
      </c>
      <c r="C560" s="2091" t="s">
        <v>2280</v>
      </c>
      <c r="D560" s="2091" t="s">
        <v>2281</v>
      </c>
      <c r="E560" s="2091" t="s">
        <v>2282</v>
      </c>
      <c r="F560" s="2091" t="s">
        <v>2283</v>
      </c>
      <c r="G560" s="2091" t="s">
        <v>24</v>
      </c>
      <c r="H560" s="2091" t="s">
        <v>24</v>
      </c>
      <c r="I560" s="2091" t="s">
        <v>752</v>
      </c>
    </row>
    <row r="561" spans="1:9" ht="11.25" customHeight="1">
      <c r="A561" s="2091" t="s">
        <v>2181</v>
      </c>
      <c r="B561" s="2091" t="s">
        <v>14</v>
      </c>
      <c r="C561" s="2091" t="s">
        <v>2284</v>
      </c>
      <c r="D561" s="2091" t="s">
        <v>2285</v>
      </c>
      <c r="E561" s="2091" t="s">
        <v>2286</v>
      </c>
      <c r="F561" s="2091" t="s">
        <v>2278</v>
      </c>
      <c r="G561" s="2091" t="s">
        <v>24</v>
      </c>
      <c r="H561" s="2091" t="s">
        <v>24</v>
      </c>
      <c r="I561" s="2091" t="s">
        <v>752</v>
      </c>
    </row>
    <row r="562" spans="1:9" ht="11.25" customHeight="1">
      <c r="A562" s="2091" t="s">
        <v>2181</v>
      </c>
      <c r="B562" s="2091" t="s">
        <v>14</v>
      </c>
      <c r="C562" s="2091" t="s">
        <v>2287</v>
      </c>
      <c r="D562" s="2091" t="s">
        <v>2288</v>
      </c>
      <c r="E562" s="2091" t="s">
        <v>2289</v>
      </c>
      <c r="F562" s="2091" t="s">
        <v>2185</v>
      </c>
      <c r="G562" s="2091" t="s">
        <v>24</v>
      </c>
      <c r="H562" s="2091" t="s">
        <v>24</v>
      </c>
      <c r="I562" s="2091" t="s">
        <v>752</v>
      </c>
    </row>
    <row r="563" spans="1:9" ht="11.25" customHeight="1">
      <c r="A563" s="2091" t="s">
        <v>2181</v>
      </c>
      <c r="B563" s="2091" t="s">
        <v>14</v>
      </c>
      <c r="C563" s="2091" t="s">
        <v>2290</v>
      </c>
      <c r="D563" s="2091" t="s">
        <v>2291</v>
      </c>
      <c r="E563" s="2091" t="s">
        <v>2292</v>
      </c>
      <c r="F563" s="2091" t="s">
        <v>2293</v>
      </c>
      <c r="G563" s="2091" t="s">
        <v>24</v>
      </c>
      <c r="H563" s="2091" t="s">
        <v>24</v>
      </c>
      <c r="I563" s="2091" t="s">
        <v>752</v>
      </c>
    </row>
    <row r="564" spans="1:9" ht="11.25" customHeight="1">
      <c r="A564" s="2091" t="s">
        <v>2181</v>
      </c>
      <c r="B564" s="2091" t="s">
        <v>14</v>
      </c>
      <c r="C564" s="2091" t="s">
        <v>2294</v>
      </c>
      <c r="D564" s="2091" t="s">
        <v>2295</v>
      </c>
      <c r="E564" s="2091" t="s">
        <v>2296</v>
      </c>
      <c r="F564" s="2091" t="s">
        <v>2297</v>
      </c>
      <c r="G564" s="2091" t="s">
        <v>24</v>
      </c>
      <c r="H564" s="2091" t="s">
        <v>24</v>
      </c>
      <c r="I564" s="2091" t="s">
        <v>752</v>
      </c>
    </row>
    <row r="565" spans="1:9" ht="11.25" customHeight="1">
      <c r="A565" s="2091" t="s">
        <v>2181</v>
      </c>
      <c r="B565" s="2091" t="s">
        <v>14</v>
      </c>
      <c r="C565" s="2091" t="s">
        <v>2304</v>
      </c>
      <c r="D565" s="2091" t="s">
        <v>2305</v>
      </c>
      <c r="E565" s="2091" t="s">
        <v>2296</v>
      </c>
      <c r="F565" s="2091" t="s">
        <v>2306</v>
      </c>
      <c r="G565" s="2091" t="s">
        <v>24</v>
      </c>
      <c r="H565" s="2091" t="s">
        <v>24</v>
      </c>
      <c r="I565" s="2091" t="s">
        <v>752</v>
      </c>
    </row>
    <row r="566" spans="1:9" ht="11.25" customHeight="1">
      <c r="A566" s="2091" t="s">
        <v>2181</v>
      </c>
      <c r="B566" s="2091" t="s">
        <v>14</v>
      </c>
      <c r="C566" s="2091" t="s">
        <v>3381</v>
      </c>
      <c r="D566" s="2091" t="s">
        <v>3382</v>
      </c>
      <c r="E566" s="2091" t="s">
        <v>3383</v>
      </c>
      <c r="F566" s="2091" t="s">
        <v>2405</v>
      </c>
      <c r="G566" s="2091" t="s">
        <v>24</v>
      </c>
      <c r="H566" s="2091" t="s">
        <v>24</v>
      </c>
      <c r="I566" s="2091" t="s">
        <v>752</v>
      </c>
    </row>
    <row r="567" spans="1:9" ht="11.25" customHeight="1">
      <c r="A567" s="2091" t="s">
        <v>2181</v>
      </c>
      <c r="B567" s="2091" t="s">
        <v>14</v>
      </c>
      <c r="C567" s="2091" t="s">
        <v>3384</v>
      </c>
      <c r="D567" s="2091" t="s">
        <v>3385</v>
      </c>
      <c r="E567" s="2091" t="s">
        <v>3386</v>
      </c>
      <c r="F567" s="2091" t="s">
        <v>2405</v>
      </c>
      <c r="G567" s="2091" t="s">
        <v>24</v>
      </c>
      <c r="H567" s="2091" t="s">
        <v>24</v>
      </c>
      <c r="I567" s="2091" t="s">
        <v>752</v>
      </c>
    </row>
    <row r="568" spans="1:9" ht="11.25" customHeight="1">
      <c r="A568" s="2091" t="s">
        <v>2181</v>
      </c>
      <c r="B568" s="2091" t="s">
        <v>14</v>
      </c>
      <c r="C568" s="2091" t="s">
        <v>2307</v>
      </c>
      <c r="D568" s="2091" t="s">
        <v>2308</v>
      </c>
      <c r="E568" s="2091" t="s">
        <v>2309</v>
      </c>
      <c r="F568" s="2091" t="s">
        <v>2185</v>
      </c>
      <c r="G568" s="2091" t="s">
        <v>24</v>
      </c>
      <c r="H568" s="2091" t="s">
        <v>24</v>
      </c>
      <c r="I568" s="2091" t="s">
        <v>752</v>
      </c>
    </row>
    <row r="569" spans="1:9" ht="11.25" customHeight="1">
      <c r="A569" s="2091" t="s">
        <v>2181</v>
      </c>
      <c r="B569" s="2091" t="s">
        <v>14</v>
      </c>
      <c r="C569" s="2091" t="s">
        <v>3387</v>
      </c>
      <c r="D569" s="2091" t="s">
        <v>3388</v>
      </c>
      <c r="E569" s="2091" t="s">
        <v>3389</v>
      </c>
      <c r="F569" s="2091" t="s">
        <v>2429</v>
      </c>
      <c r="G569" s="2091" t="s">
        <v>3390</v>
      </c>
      <c r="H569" s="2091" t="s">
        <v>24</v>
      </c>
      <c r="I569" s="2091" t="s">
        <v>752</v>
      </c>
    </row>
    <row r="570" spans="1:9" ht="11.25" customHeight="1">
      <c r="A570" s="2091" t="s">
        <v>2181</v>
      </c>
      <c r="B570" s="2091" t="s">
        <v>14</v>
      </c>
      <c r="C570" s="2091" t="s">
        <v>2318</v>
      </c>
      <c r="D570" s="2091" t="s">
        <v>2319</v>
      </c>
      <c r="E570" s="2091" t="s">
        <v>2320</v>
      </c>
      <c r="F570" s="2091" t="s">
        <v>2317</v>
      </c>
      <c r="G570" s="2091" t="s">
        <v>2321</v>
      </c>
      <c r="H570" s="2091" t="s">
        <v>24</v>
      </c>
      <c r="I570" s="2091" t="s">
        <v>752</v>
      </c>
    </row>
    <row r="571" spans="1:9" ht="11.25" customHeight="1">
      <c r="A571" s="2091" t="s">
        <v>2181</v>
      </c>
      <c r="B571" s="2091" t="s">
        <v>14</v>
      </c>
      <c r="C571" s="2091" t="s">
        <v>2335</v>
      </c>
      <c r="D571" s="2091" t="s">
        <v>2336</v>
      </c>
      <c r="E571" s="2091" t="s">
        <v>2337</v>
      </c>
      <c r="F571" s="2091" t="s">
        <v>2338</v>
      </c>
      <c r="G571" s="2091" t="s">
        <v>2339</v>
      </c>
      <c r="H571" s="2091" t="s">
        <v>24</v>
      </c>
      <c r="I571" s="2091" t="s">
        <v>752</v>
      </c>
    </row>
    <row r="572" spans="1:9" ht="11.25" customHeight="1">
      <c r="A572" s="2091" t="s">
        <v>2181</v>
      </c>
      <c r="B572" s="2091" t="s">
        <v>14</v>
      </c>
      <c r="C572" s="2091" t="s">
        <v>2340</v>
      </c>
      <c r="D572" s="2091" t="s">
        <v>2341</v>
      </c>
      <c r="E572" s="2091" t="s">
        <v>2342</v>
      </c>
      <c r="F572" s="2091" t="s">
        <v>2343</v>
      </c>
      <c r="G572" s="2091" t="s">
        <v>2344</v>
      </c>
      <c r="H572" s="2091" t="s">
        <v>24</v>
      </c>
      <c r="I572" s="2091" t="s">
        <v>752</v>
      </c>
    </row>
    <row r="573" spans="1:9" ht="11.25" customHeight="1">
      <c r="A573" s="2091" t="s">
        <v>2181</v>
      </c>
      <c r="B573" s="2091" t="s">
        <v>14</v>
      </c>
      <c r="C573" s="2091" t="s">
        <v>3391</v>
      </c>
      <c r="D573" s="2091" t="s">
        <v>3392</v>
      </c>
      <c r="E573" s="2091" t="s">
        <v>3393</v>
      </c>
      <c r="F573" s="2091" t="s">
        <v>2317</v>
      </c>
      <c r="G573" s="2091" t="s">
        <v>2516</v>
      </c>
      <c r="H573" s="2091" t="s">
        <v>24</v>
      </c>
      <c r="I573" s="2091" t="s">
        <v>752</v>
      </c>
    </row>
    <row r="574" spans="1:9" ht="11.25" customHeight="1">
      <c r="A574" s="2091" t="s">
        <v>2181</v>
      </c>
      <c r="B574" s="2091" t="s">
        <v>14</v>
      </c>
      <c r="C574" s="2091" t="s">
        <v>2345</v>
      </c>
      <c r="D574" s="2091" t="s">
        <v>2346</v>
      </c>
      <c r="E574" s="2091" t="s">
        <v>2347</v>
      </c>
      <c r="F574" s="2091" t="s">
        <v>2348</v>
      </c>
      <c r="G574" s="2091" t="s">
        <v>24</v>
      </c>
      <c r="H574" s="2091" t="s">
        <v>24</v>
      </c>
      <c r="I574" s="2091" t="s">
        <v>752</v>
      </c>
    </row>
    <row r="575" spans="1:9" ht="11.25" customHeight="1">
      <c r="A575" s="2091" t="s">
        <v>2181</v>
      </c>
      <c r="B575" s="2091" t="s">
        <v>14</v>
      </c>
      <c r="C575" s="2091" t="s">
        <v>3394</v>
      </c>
      <c r="D575" s="2091" t="s">
        <v>3395</v>
      </c>
      <c r="E575" s="2091" t="s">
        <v>3396</v>
      </c>
      <c r="F575" s="2091" t="s">
        <v>3397</v>
      </c>
      <c r="G575" s="2091" t="s">
        <v>24</v>
      </c>
      <c r="H575" s="2091" t="s">
        <v>24</v>
      </c>
      <c r="I575" s="2091" t="s">
        <v>752</v>
      </c>
    </row>
    <row r="576" spans="1:9" ht="11.25" customHeight="1">
      <c r="A576" s="2091" t="s">
        <v>2181</v>
      </c>
      <c r="B576" s="2091" t="s">
        <v>14</v>
      </c>
      <c r="C576" s="2091" t="s">
        <v>3398</v>
      </c>
      <c r="D576" s="2091" t="s">
        <v>3399</v>
      </c>
      <c r="E576" s="2091" t="s">
        <v>3400</v>
      </c>
      <c r="F576" s="2091" t="s">
        <v>559</v>
      </c>
      <c r="G576" s="2091" t="s">
        <v>24</v>
      </c>
      <c r="H576" s="2091" t="s">
        <v>24</v>
      </c>
      <c r="I576" s="2091" t="s">
        <v>752</v>
      </c>
    </row>
    <row r="577" spans="1:9" ht="11.25" customHeight="1">
      <c r="A577" s="2091" t="s">
        <v>2181</v>
      </c>
      <c r="B577" s="2091" t="s">
        <v>14</v>
      </c>
      <c r="C577" s="2091" t="s">
        <v>3401</v>
      </c>
      <c r="D577" s="2091" t="s">
        <v>3402</v>
      </c>
      <c r="E577" s="2091" t="s">
        <v>3403</v>
      </c>
      <c r="F577" s="2091" t="s">
        <v>559</v>
      </c>
      <c r="G577" s="2091" t="s">
        <v>24</v>
      </c>
      <c r="H577" s="2091" t="s">
        <v>24</v>
      </c>
      <c r="I577" s="2091" t="s">
        <v>752</v>
      </c>
    </row>
    <row r="578" spans="1:9" ht="11.25" customHeight="1">
      <c r="A578" s="2091" t="s">
        <v>2181</v>
      </c>
      <c r="B578" s="2091" t="s">
        <v>14</v>
      </c>
      <c r="C578" s="2091" t="s">
        <v>3404</v>
      </c>
      <c r="D578" s="2091" t="s">
        <v>3405</v>
      </c>
      <c r="E578" s="2091" t="s">
        <v>3406</v>
      </c>
      <c r="F578" s="2091" t="s">
        <v>2405</v>
      </c>
      <c r="G578" s="2091" t="s">
        <v>24</v>
      </c>
      <c r="H578" s="2091" t="s">
        <v>24</v>
      </c>
      <c r="I578" s="2091" t="s">
        <v>752</v>
      </c>
    </row>
    <row r="579" spans="1:9" ht="11.25" customHeight="1">
      <c r="A579" s="2091" t="s">
        <v>2181</v>
      </c>
      <c r="B579" s="2091" t="s">
        <v>14</v>
      </c>
      <c r="C579" s="2091" t="s">
        <v>3407</v>
      </c>
      <c r="D579" s="2091" t="s">
        <v>3408</v>
      </c>
      <c r="E579" s="2091" t="s">
        <v>3409</v>
      </c>
      <c r="F579" s="2091" t="s">
        <v>2405</v>
      </c>
      <c r="G579" s="2091" t="s">
        <v>24</v>
      </c>
      <c r="H579" s="2091" t="s">
        <v>24</v>
      </c>
      <c r="I579" s="2091" t="s">
        <v>752</v>
      </c>
    </row>
    <row r="580" spans="1:9" ht="11.25" customHeight="1">
      <c r="A580" s="2091" t="s">
        <v>2181</v>
      </c>
      <c r="B580" s="2091" t="s">
        <v>14</v>
      </c>
      <c r="C580" s="2091" t="s">
        <v>3410</v>
      </c>
      <c r="D580" s="2091" t="s">
        <v>3411</v>
      </c>
      <c r="E580" s="2091" t="s">
        <v>3412</v>
      </c>
      <c r="F580" s="2091" t="s">
        <v>2405</v>
      </c>
      <c r="G580" s="2091" t="s">
        <v>24</v>
      </c>
      <c r="H580" s="2091" t="s">
        <v>24</v>
      </c>
      <c r="I580" s="2091" t="s">
        <v>752</v>
      </c>
    </row>
    <row r="581" spans="1:9" ht="11.25" customHeight="1">
      <c r="A581" s="2091" t="s">
        <v>2181</v>
      </c>
      <c r="B581" s="2091" t="s">
        <v>14</v>
      </c>
      <c r="C581" s="2091" t="s">
        <v>2358</v>
      </c>
      <c r="D581" s="2091" t="s">
        <v>2359</v>
      </c>
      <c r="E581" s="2091" t="s">
        <v>2360</v>
      </c>
      <c r="F581" s="2091" t="s">
        <v>2361</v>
      </c>
      <c r="G581" s="2091" t="s">
        <v>24</v>
      </c>
      <c r="H581" s="2091" t="s">
        <v>24</v>
      </c>
      <c r="I581" s="2091" t="s">
        <v>752</v>
      </c>
    </row>
    <row r="582" spans="1:9" ht="11.25" customHeight="1">
      <c r="A582" s="2091" t="s">
        <v>2181</v>
      </c>
      <c r="B582" s="2091" t="s">
        <v>14</v>
      </c>
      <c r="C582" s="2091" t="s">
        <v>3413</v>
      </c>
      <c r="D582" s="2091" t="s">
        <v>3414</v>
      </c>
      <c r="E582" s="2091" t="s">
        <v>3415</v>
      </c>
      <c r="F582" s="2091" t="s">
        <v>2683</v>
      </c>
      <c r="G582" s="2091" t="s">
        <v>24</v>
      </c>
      <c r="H582" s="2091" t="s">
        <v>24</v>
      </c>
      <c r="I582" s="2091" t="s">
        <v>752</v>
      </c>
    </row>
    <row r="583" spans="1:9" ht="11.25" customHeight="1">
      <c r="A583" s="2091" t="s">
        <v>2181</v>
      </c>
      <c r="B583" s="2091" t="s">
        <v>14</v>
      </c>
      <c r="C583" s="2091" t="s">
        <v>2373</v>
      </c>
      <c r="D583" s="2091" t="s">
        <v>2374</v>
      </c>
      <c r="E583" s="2091" t="s">
        <v>2375</v>
      </c>
      <c r="F583" s="2091" t="s">
        <v>2376</v>
      </c>
      <c r="G583" s="2091" t="s">
        <v>24</v>
      </c>
      <c r="H583" s="2091" t="s">
        <v>24</v>
      </c>
      <c r="I583" s="2091" t="s">
        <v>752</v>
      </c>
    </row>
    <row r="584" spans="1:9" ht="11.25" customHeight="1">
      <c r="A584" s="2091" t="s">
        <v>2181</v>
      </c>
      <c r="B584" s="2091" t="s">
        <v>14</v>
      </c>
      <c r="C584" s="2091" t="s">
        <v>2380</v>
      </c>
      <c r="D584" s="2091" t="s">
        <v>2381</v>
      </c>
      <c r="E584" s="2091" t="s">
        <v>2382</v>
      </c>
      <c r="F584" s="2091" t="s">
        <v>2383</v>
      </c>
      <c r="G584" s="2091" t="s">
        <v>24</v>
      </c>
      <c r="H584" s="2091" t="s">
        <v>24</v>
      </c>
      <c r="I584" s="2091" t="s">
        <v>752</v>
      </c>
    </row>
    <row r="585" spans="1:9" ht="11.25" customHeight="1">
      <c r="A585" s="2091" t="s">
        <v>2181</v>
      </c>
      <c r="B585" s="2091" t="s">
        <v>14</v>
      </c>
      <c r="C585" s="2091" t="s">
        <v>2387</v>
      </c>
      <c r="D585" s="2091" t="s">
        <v>2388</v>
      </c>
      <c r="E585" s="2091" t="s">
        <v>2389</v>
      </c>
      <c r="F585" s="2091" t="s">
        <v>2283</v>
      </c>
      <c r="G585" s="2091" t="s">
        <v>2390</v>
      </c>
      <c r="H585" s="2091" t="s">
        <v>24</v>
      </c>
      <c r="I585" s="2091" t="s">
        <v>752</v>
      </c>
    </row>
    <row r="586" spans="1:9" ht="11.25" customHeight="1">
      <c r="A586" s="2091" t="s">
        <v>2181</v>
      </c>
      <c r="B586" s="2091" t="s">
        <v>14</v>
      </c>
      <c r="C586" s="2091" t="s">
        <v>2391</v>
      </c>
      <c r="D586" s="2091" t="s">
        <v>2392</v>
      </c>
      <c r="E586" s="2091" t="s">
        <v>2393</v>
      </c>
      <c r="F586" s="2091" t="s">
        <v>2394</v>
      </c>
      <c r="G586" s="2091" t="s">
        <v>24</v>
      </c>
      <c r="H586" s="2091" t="s">
        <v>24</v>
      </c>
      <c r="I586" s="2091" t="s">
        <v>752</v>
      </c>
    </row>
    <row r="587" spans="1:9" ht="11.25" customHeight="1">
      <c r="A587" s="2091" t="s">
        <v>2181</v>
      </c>
      <c r="B587" s="2091" t="s">
        <v>14</v>
      </c>
      <c r="C587" s="2091" t="s">
        <v>2395</v>
      </c>
      <c r="D587" s="2091" t="s">
        <v>2396</v>
      </c>
      <c r="E587" s="2091" t="s">
        <v>2397</v>
      </c>
      <c r="F587" s="2091" t="s">
        <v>2194</v>
      </c>
      <c r="G587" s="2091" t="s">
        <v>24</v>
      </c>
      <c r="H587" s="2091" t="s">
        <v>24</v>
      </c>
      <c r="I587" s="2091" t="s">
        <v>752</v>
      </c>
    </row>
    <row r="588" spans="1:9" ht="11.25" customHeight="1">
      <c r="A588" s="2091" t="s">
        <v>2181</v>
      </c>
      <c r="B588" s="2091" t="s">
        <v>14</v>
      </c>
      <c r="C588" s="2091" t="s">
        <v>2402</v>
      </c>
      <c r="D588" s="2091" t="s">
        <v>2403</v>
      </c>
      <c r="E588" s="2091" t="s">
        <v>2404</v>
      </c>
      <c r="F588" s="2091" t="s">
        <v>2405</v>
      </c>
      <c r="G588" s="2091" t="s">
        <v>24</v>
      </c>
      <c r="H588" s="2091" t="s">
        <v>24</v>
      </c>
      <c r="I588" s="2091" t="s">
        <v>752</v>
      </c>
    </row>
    <row r="589" spans="1:9" ht="11.25" customHeight="1">
      <c r="A589" s="2091" t="s">
        <v>2181</v>
      </c>
      <c r="B589" s="2091" t="s">
        <v>14</v>
      </c>
      <c r="C589" s="2091" t="s">
        <v>24</v>
      </c>
      <c r="D589" s="2091" t="s">
        <v>2406</v>
      </c>
      <c r="E589" s="2091" t="s">
        <v>2407</v>
      </c>
      <c r="F589" s="2091" t="s">
        <v>2293</v>
      </c>
      <c r="G589" s="2091" t="s">
        <v>24</v>
      </c>
      <c r="H589" s="2091" t="s">
        <v>24</v>
      </c>
      <c r="I589" s="2091" t="s">
        <v>752</v>
      </c>
    </row>
    <row r="590" spans="1:9" ht="11.25" customHeight="1">
      <c r="A590" s="2091" t="s">
        <v>2181</v>
      </c>
      <c r="B590" s="2091" t="s">
        <v>14</v>
      </c>
      <c r="C590" s="2091" t="s">
        <v>3416</v>
      </c>
      <c r="D590" s="2091" t="s">
        <v>3417</v>
      </c>
      <c r="E590" s="2091" t="s">
        <v>3418</v>
      </c>
      <c r="F590" s="2091" t="s">
        <v>2535</v>
      </c>
      <c r="G590" s="2091" t="s">
        <v>3419</v>
      </c>
      <c r="H590" s="2091" t="s">
        <v>24</v>
      </c>
      <c r="I590" s="2091" t="s">
        <v>752</v>
      </c>
    </row>
    <row r="591" spans="1:9" ht="11.25" customHeight="1">
      <c r="A591" s="2091" t="s">
        <v>2181</v>
      </c>
      <c r="B591" s="2091" t="s">
        <v>14</v>
      </c>
      <c r="C591" s="2091" t="s">
        <v>3420</v>
      </c>
      <c r="D591" s="2091" t="s">
        <v>3421</v>
      </c>
      <c r="E591" s="2091" t="s">
        <v>3422</v>
      </c>
      <c r="F591" s="2091" t="s">
        <v>2725</v>
      </c>
      <c r="G591" s="2091" t="s">
        <v>24</v>
      </c>
      <c r="H591" s="2091" t="s">
        <v>3423</v>
      </c>
      <c r="I591" s="2091" t="s">
        <v>752</v>
      </c>
    </row>
    <row r="592" spans="1:9" ht="11.25" customHeight="1">
      <c r="A592" s="2091" t="s">
        <v>2181</v>
      </c>
      <c r="B592" s="2091" t="s">
        <v>14</v>
      </c>
      <c r="C592" s="2091" t="s">
        <v>3424</v>
      </c>
      <c r="D592" s="2091" t="s">
        <v>3425</v>
      </c>
      <c r="E592" s="2091" t="s">
        <v>3426</v>
      </c>
      <c r="F592" s="2091" t="s">
        <v>3355</v>
      </c>
      <c r="G592" s="2091" t="s">
        <v>24</v>
      </c>
      <c r="H592" s="2091" t="s">
        <v>24</v>
      </c>
      <c r="I592" s="2091" t="s">
        <v>752</v>
      </c>
    </row>
    <row r="593" spans="1:9" ht="11.25" customHeight="1">
      <c r="A593" s="2091" t="s">
        <v>2181</v>
      </c>
      <c r="B593" s="2091" t="s">
        <v>14</v>
      </c>
      <c r="C593" s="2091" t="s">
        <v>3427</v>
      </c>
      <c r="D593" s="2091" t="s">
        <v>3428</v>
      </c>
      <c r="E593" s="2091" t="s">
        <v>3429</v>
      </c>
      <c r="F593" s="2091" t="s">
        <v>2709</v>
      </c>
      <c r="G593" s="2091" t="s">
        <v>24</v>
      </c>
      <c r="H593" s="2091" t="s">
        <v>24</v>
      </c>
      <c r="I593" s="2091" t="s">
        <v>752</v>
      </c>
    </row>
    <row r="594" spans="1:9" ht="11.25" customHeight="1">
      <c r="A594" s="2091" t="s">
        <v>2181</v>
      </c>
      <c r="B594" s="2091" t="s">
        <v>14</v>
      </c>
      <c r="C594" s="2091" t="s">
        <v>3430</v>
      </c>
      <c r="D594" s="2091" t="s">
        <v>3431</v>
      </c>
      <c r="E594" s="2091" t="s">
        <v>3432</v>
      </c>
      <c r="F594" s="2091" t="s">
        <v>3355</v>
      </c>
      <c r="G594" s="2091" t="s">
        <v>24</v>
      </c>
      <c r="H594" s="2091" t="s">
        <v>24</v>
      </c>
      <c r="I594" s="2091" t="s">
        <v>752</v>
      </c>
    </row>
    <row r="595" spans="1:9" ht="11.25" customHeight="1">
      <c r="A595" s="2091" t="s">
        <v>2181</v>
      </c>
      <c r="B595" s="2091" t="s">
        <v>14</v>
      </c>
      <c r="C595" s="2091" t="s">
        <v>3433</v>
      </c>
      <c r="D595" s="2091" t="s">
        <v>3434</v>
      </c>
      <c r="E595" s="2091" t="s">
        <v>3435</v>
      </c>
      <c r="F595" s="2091" t="s">
        <v>3355</v>
      </c>
      <c r="G595" s="2091" t="s">
        <v>24</v>
      </c>
      <c r="H595" s="2091" t="s">
        <v>24</v>
      </c>
      <c r="I595" s="2091" t="s">
        <v>752</v>
      </c>
    </row>
    <row r="596" spans="1:9" ht="11.25" customHeight="1">
      <c r="A596" s="2091" t="s">
        <v>2181</v>
      </c>
      <c r="B596" s="2091" t="s">
        <v>14</v>
      </c>
      <c r="C596" s="2091" t="s">
        <v>3436</v>
      </c>
      <c r="D596" s="2091" t="s">
        <v>3437</v>
      </c>
      <c r="E596" s="2091" t="s">
        <v>3438</v>
      </c>
      <c r="F596" s="2091" t="s">
        <v>3355</v>
      </c>
      <c r="G596" s="2091" t="s">
        <v>24</v>
      </c>
      <c r="H596" s="2091" t="s">
        <v>24</v>
      </c>
      <c r="I596" s="2091" t="s">
        <v>752</v>
      </c>
    </row>
    <row r="597" spans="1:9" ht="11.25" customHeight="1">
      <c r="A597" s="2091" t="s">
        <v>2181</v>
      </c>
      <c r="B597" s="2091" t="s">
        <v>14</v>
      </c>
      <c r="C597" s="2091" t="s">
        <v>3439</v>
      </c>
      <c r="D597" s="2091" t="s">
        <v>3440</v>
      </c>
      <c r="E597" s="2091" t="s">
        <v>3441</v>
      </c>
      <c r="F597" s="2091" t="s">
        <v>3355</v>
      </c>
      <c r="G597" s="2091" t="s">
        <v>24</v>
      </c>
      <c r="H597" s="2091" t="s">
        <v>24</v>
      </c>
      <c r="I597" s="2091" t="s">
        <v>752</v>
      </c>
    </row>
    <row r="598" spans="1:9" ht="11.25" customHeight="1">
      <c r="A598" s="2091" t="s">
        <v>2181</v>
      </c>
      <c r="B598" s="2091" t="s">
        <v>14</v>
      </c>
      <c r="C598" s="2091" t="s">
        <v>3442</v>
      </c>
      <c r="D598" s="2091" t="s">
        <v>3443</v>
      </c>
      <c r="E598" s="2091" t="s">
        <v>3444</v>
      </c>
      <c r="F598" s="2091" t="s">
        <v>2718</v>
      </c>
      <c r="G598" s="2091" t="s">
        <v>24</v>
      </c>
      <c r="H598" s="2091" t="s">
        <v>24</v>
      </c>
      <c r="I598" s="2091" t="s">
        <v>752</v>
      </c>
    </row>
    <row r="599" spans="1:9" ht="11.25" customHeight="1">
      <c r="A599" s="2091" t="s">
        <v>2181</v>
      </c>
      <c r="B599" s="2091" t="s">
        <v>14</v>
      </c>
      <c r="C599" s="2091" t="s">
        <v>2408</v>
      </c>
      <c r="D599" s="2091" t="s">
        <v>2409</v>
      </c>
      <c r="E599" s="2091" t="s">
        <v>2410</v>
      </c>
      <c r="F599" s="2091" t="s">
        <v>2218</v>
      </c>
      <c r="G599" s="2091" t="s">
        <v>24</v>
      </c>
      <c r="H599" s="2091" t="s">
        <v>24</v>
      </c>
      <c r="I599" s="2091" t="s">
        <v>752</v>
      </c>
    </row>
    <row r="600" spans="1:9" ht="11.25" customHeight="1">
      <c r="A600" s="2091" t="s">
        <v>2181</v>
      </c>
      <c r="B600" s="2091" t="s">
        <v>14</v>
      </c>
      <c r="C600" s="2091" t="s">
        <v>2411</v>
      </c>
      <c r="D600" s="2091" t="s">
        <v>2412</v>
      </c>
      <c r="E600" s="2091" t="s">
        <v>2413</v>
      </c>
      <c r="F600" s="2091" t="s">
        <v>2218</v>
      </c>
      <c r="G600" s="2091" t="s">
        <v>24</v>
      </c>
      <c r="H600" s="2091" t="s">
        <v>24</v>
      </c>
      <c r="I600" s="2091" t="s">
        <v>752</v>
      </c>
    </row>
    <row r="601" spans="1:9" ht="11.25" customHeight="1">
      <c r="A601" s="2091" t="s">
        <v>2181</v>
      </c>
      <c r="B601" s="2091" t="s">
        <v>14</v>
      </c>
      <c r="C601" s="2091" t="s">
        <v>2414</v>
      </c>
      <c r="D601" s="2091" t="s">
        <v>2415</v>
      </c>
      <c r="E601" s="2091" t="s">
        <v>2416</v>
      </c>
      <c r="F601" s="2091" t="s">
        <v>2218</v>
      </c>
      <c r="G601" s="2091" t="s">
        <v>24</v>
      </c>
      <c r="H601" s="2091" t="s">
        <v>24</v>
      </c>
      <c r="I601" s="2091" t="s">
        <v>752</v>
      </c>
    </row>
    <row r="602" spans="1:9" ht="11.25" customHeight="1">
      <c r="A602" s="2091" t="s">
        <v>2181</v>
      </c>
      <c r="B602" s="2091" t="s">
        <v>14</v>
      </c>
      <c r="C602" s="2091" t="s">
        <v>2417</v>
      </c>
      <c r="D602" s="2091" t="s">
        <v>2418</v>
      </c>
      <c r="E602" s="2091" t="s">
        <v>2419</v>
      </c>
      <c r="F602" s="2091" t="s">
        <v>2361</v>
      </c>
      <c r="G602" s="2091" t="s">
        <v>2420</v>
      </c>
      <c r="H602" s="2091" t="s">
        <v>24</v>
      </c>
      <c r="I602" s="2091" t="s">
        <v>752</v>
      </c>
    </row>
    <row r="603" spans="1:9" ht="11.25" customHeight="1">
      <c r="A603" s="2091" t="s">
        <v>2181</v>
      </c>
      <c r="B603" s="2091" t="s">
        <v>14</v>
      </c>
      <c r="C603" s="2091" t="s">
        <v>2421</v>
      </c>
      <c r="D603" s="2091" t="s">
        <v>2422</v>
      </c>
      <c r="E603" s="2091" t="s">
        <v>2423</v>
      </c>
      <c r="F603" s="2091" t="s">
        <v>2424</v>
      </c>
      <c r="G603" s="2091" t="s">
        <v>2425</v>
      </c>
      <c r="H603" s="2091" t="s">
        <v>24</v>
      </c>
      <c r="I603" s="2091" t="s">
        <v>752</v>
      </c>
    </row>
    <row r="604" spans="1:9" ht="11.25" customHeight="1">
      <c r="A604" s="2091" t="s">
        <v>2181</v>
      </c>
      <c r="B604" s="2091" t="s">
        <v>14</v>
      </c>
      <c r="C604" s="2091" t="s">
        <v>3445</v>
      </c>
      <c r="D604" s="2091" t="s">
        <v>3446</v>
      </c>
      <c r="E604" s="2091" t="s">
        <v>3447</v>
      </c>
      <c r="F604" s="2091" t="s">
        <v>2424</v>
      </c>
      <c r="G604" s="2091" t="s">
        <v>3448</v>
      </c>
      <c r="H604" s="2091" t="s">
        <v>24</v>
      </c>
      <c r="I604" s="2091" t="s">
        <v>752</v>
      </c>
    </row>
    <row r="605" spans="1:9" ht="11.25" customHeight="1">
      <c r="A605" s="2091" t="s">
        <v>2181</v>
      </c>
      <c r="B605" s="2091" t="s">
        <v>14</v>
      </c>
      <c r="C605" s="2091" t="s">
        <v>2426</v>
      </c>
      <c r="D605" s="2091" t="s">
        <v>2427</v>
      </c>
      <c r="E605" s="2091" t="s">
        <v>2428</v>
      </c>
      <c r="F605" s="2091" t="s">
        <v>2429</v>
      </c>
      <c r="G605" s="2091" t="s">
        <v>24</v>
      </c>
      <c r="H605" s="2091" t="s">
        <v>24</v>
      </c>
      <c r="I605" s="2091" t="s">
        <v>752</v>
      </c>
    </row>
    <row r="606" spans="1:9" ht="11.25" customHeight="1">
      <c r="A606" s="2091" t="s">
        <v>2181</v>
      </c>
      <c r="B606" s="2091" t="s">
        <v>14</v>
      </c>
      <c r="C606" s="2091" t="s">
        <v>2430</v>
      </c>
      <c r="D606" s="2091" t="s">
        <v>2431</v>
      </c>
      <c r="E606" s="2091" t="s">
        <v>2432</v>
      </c>
      <c r="F606" s="2091" t="s">
        <v>2433</v>
      </c>
      <c r="G606" s="2091" t="s">
        <v>2434</v>
      </c>
      <c r="H606" s="2091" t="s">
        <v>24</v>
      </c>
      <c r="I606" s="2091" t="s">
        <v>752</v>
      </c>
    </row>
    <row r="607" spans="1:9" ht="11.25" customHeight="1">
      <c r="A607" s="2091" t="s">
        <v>2181</v>
      </c>
      <c r="B607" s="2091" t="s">
        <v>14</v>
      </c>
      <c r="C607" s="2091" t="s">
        <v>2435</v>
      </c>
      <c r="D607" s="2091" t="s">
        <v>2436</v>
      </c>
      <c r="E607" s="2091" t="s">
        <v>2437</v>
      </c>
      <c r="F607" s="2091" t="s">
        <v>2438</v>
      </c>
      <c r="G607" s="2091" t="s">
        <v>2439</v>
      </c>
      <c r="H607" s="2091" t="s">
        <v>24</v>
      </c>
      <c r="I607" s="2091" t="s">
        <v>752</v>
      </c>
    </row>
    <row r="608" spans="1:9" ht="11.25" customHeight="1">
      <c r="A608" s="2091" t="s">
        <v>2181</v>
      </c>
      <c r="B608" s="2091" t="s">
        <v>14</v>
      </c>
      <c r="C608" s="2091" t="s">
        <v>2440</v>
      </c>
      <c r="D608" s="2091" t="s">
        <v>2441</v>
      </c>
      <c r="E608" s="2091" t="s">
        <v>2442</v>
      </c>
      <c r="F608" s="2091" t="s">
        <v>2443</v>
      </c>
      <c r="G608" s="2091" t="s">
        <v>2444</v>
      </c>
      <c r="H608" s="2091" t="s">
        <v>24</v>
      </c>
      <c r="I608" s="2091" t="s">
        <v>752</v>
      </c>
    </row>
    <row r="609" spans="1:9" ht="11.25" customHeight="1">
      <c r="A609" s="2091" t="s">
        <v>2181</v>
      </c>
      <c r="B609" s="2091" t="s">
        <v>14</v>
      </c>
      <c r="C609" s="2091" t="s">
        <v>2452</v>
      </c>
      <c r="D609" s="2091" t="s">
        <v>2453</v>
      </c>
      <c r="E609" s="2091" t="s">
        <v>2454</v>
      </c>
      <c r="F609" s="2091" t="s">
        <v>2455</v>
      </c>
      <c r="G609" s="2091" t="s">
        <v>24</v>
      </c>
      <c r="H609" s="2091" t="s">
        <v>24</v>
      </c>
      <c r="I609" s="2091" t="s">
        <v>752</v>
      </c>
    </row>
    <row r="610" spans="1:9" ht="11.25" customHeight="1">
      <c r="A610" s="2091" t="s">
        <v>2181</v>
      </c>
      <c r="B610" s="2091" t="s">
        <v>14</v>
      </c>
      <c r="C610" s="2091" t="s">
        <v>2456</v>
      </c>
      <c r="D610" s="2091" t="s">
        <v>2457</v>
      </c>
      <c r="E610" s="2091" t="s">
        <v>2458</v>
      </c>
      <c r="F610" s="2091" t="s">
        <v>2343</v>
      </c>
      <c r="G610" s="2091" t="s">
        <v>2459</v>
      </c>
      <c r="H610" s="2091" t="s">
        <v>24</v>
      </c>
      <c r="I610" s="2091" t="s">
        <v>752</v>
      </c>
    </row>
    <row r="611" spans="1:9" ht="11.25" customHeight="1">
      <c r="A611" s="2091" t="s">
        <v>2181</v>
      </c>
      <c r="B611" s="2091" t="s">
        <v>14</v>
      </c>
      <c r="C611" s="2091" t="s">
        <v>3449</v>
      </c>
      <c r="D611" s="2091" t="s">
        <v>3450</v>
      </c>
      <c r="E611" s="2091" t="s">
        <v>3451</v>
      </c>
      <c r="F611" s="2091" t="s">
        <v>2463</v>
      </c>
      <c r="G611" s="2091" t="s">
        <v>3452</v>
      </c>
      <c r="H611" s="2091" t="s">
        <v>24</v>
      </c>
      <c r="I611" s="2091" t="s">
        <v>752</v>
      </c>
    </row>
    <row r="612" spans="1:9" ht="11.25" customHeight="1">
      <c r="A612" s="2091" t="s">
        <v>2181</v>
      </c>
      <c r="B612" s="2091" t="s">
        <v>14</v>
      </c>
      <c r="C612" s="2091" t="s">
        <v>2460</v>
      </c>
      <c r="D612" s="2091" t="s">
        <v>2461</v>
      </c>
      <c r="E612" s="2091" t="s">
        <v>2462</v>
      </c>
      <c r="F612" s="2091" t="s">
        <v>2463</v>
      </c>
      <c r="G612" s="2091" t="s">
        <v>2464</v>
      </c>
      <c r="H612" s="2091" t="s">
        <v>24</v>
      </c>
      <c r="I612" s="2091" t="s">
        <v>752</v>
      </c>
    </row>
    <row r="613" spans="1:9" ht="11.25" customHeight="1">
      <c r="A613" s="2091" t="s">
        <v>2181</v>
      </c>
      <c r="B613" s="2091" t="s">
        <v>14</v>
      </c>
      <c r="C613" s="2091" t="s">
        <v>3453</v>
      </c>
      <c r="D613" s="2091" t="s">
        <v>3454</v>
      </c>
      <c r="E613" s="2091" t="s">
        <v>3455</v>
      </c>
      <c r="F613" s="2091" t="s">
        <v>2463</v>
      </c>
      <c r="G613" s="2091" t="s">
        <v>24</v>
      </c>
      <c r="H613" s="2091" t="s">
        <v>24</v>
      </c>
      <c r="I613" s="2091" t="s">
        <v>752</v>
      </c>
    </row>
    <row r="614" spans="1:9" ht="11.25" customHeight="1">
      <c r="A614" s="2091" t="s">
        <v>2181</v>
      </c>
      <c r="B614" s="2091" t="s">
        <v>14</v>
      </c>
      <c r="C614" s="2091" t="s">
        <v>3456</v>
      </c>
      <c r="D614" s="2091" t="s">
        <v>3457</v>
      </c>
      <c r="E614" s="2091" t="s">
        <v>3458</v>
      </c>
      <c r="F614" s="2091" t="s">
        <v>2361</v>
      </c>
      <c r="G614" s="2091" t="s">
        <v>24</v>
      </c>
      <c r="H614" s="2091" t="s">
        <v>24</v>
      </c>
      <c r="I614" s="2091" t="s">
        <v>752</v>
      </c>
    </row>
    <row r="615" spans="1:9" ht="11.25" customHeight="1">
      <c r="A615" s="2091" t="s">
        <v>2181</v>
      </c>
      <c r="B615" s="2091" t="s">
        <v>14</v>
      </c>
      <c r="C615" s="2091" t="s">
        <v>2465</v>
      </c>
      <c r="D615" s="2091" t="s">
        <v>2466</v>
      </c>
      <c r="E615" s="2091" t="s">
        <v>2467</v>
      </c>
      <c r="F615" s="2091" t="s">
        <v>2468</v>
      </c>
      <c r="G615" s="2091" t="s">
        <v>2469</v>
      </c>
      <c r="H615" s="2091" t="s">
        <v>24</v>
      </c>
      <c r="I615" s="2091" t="s">
        <v>752</v>
      </c>
    </row>
    <row r="616" spans="1:9" ht="11.25" customHeight="1">
      <c r="A616" s="2091" t="s">
        <v>2181</v>
      </c>
      <c r="B616" s="2091" t="s">
        <v>14</v>
      </c>
      <c r="C616" s="2091" t="s">
        <v>3459</v>
      </c>
      <c r="D616" s="2091" t="s">
        <v>3460</v>
      </c>
      <c r="E616" s="2091" t="s">
        <v>3461</v>
      </c>
      <c r="F616" s="2091" t="s">
        <v>2376</v>
      </c>
      <c r="G616" s="2091" t="s">
        <v>24</v>
      </c>
      <c r="H616" s="2091" t="s">
        <v>24</v>
      </c>
      <c r="I616" s="2091" t="s">
        <v>752</v>
      </c>
    </row>
    <row r="617" spans="1:9" ht="11.25" customHeight="1">
      <c r="A617" s="2091" t="s">
        <v>2181</v>
      </c>
      <c r="B617" s="2091" t="s">
        <v>14</v>
      </c>
      <c r="C617" s="2091" t="s">
        <v>3462</v>
      </c>
      <c r="D617" s="2091" t="s">
        <v>3463</v>
      </c>
      <c r="E617" s="2091" t="s">
        <v>3464</v>
      </c>
      <c r="F617" s="2091" t="s">
        <v>2570</v>
      </c>
      <c r="G617" s="2091" t="s">
        <v>24</v>
      </c>
      <c r="H617" s="2091" t="s">
        <v>24</v>
      </c>
      <c r="I617" s="2091" t="s">
        <v>752</v>
      </c>
    </row>
    <row r="618" spans="1:9" ht="11.25" customHeight="1">
      <c r="A618" s="2091" t="s">
        <v>2181</v>
      </c>
      <c r="B618" s="2091" t="s">
        <v>14</v>
      </c>
      <c r="C618" s="2091" t="s">
        <v>2470</v>
      </c>
      <c r="D618" s="2091" t="s">
        <v>2471</v>
      </c>
      <c r="E618" s="2091" t="s">
        <v>2472</v>
      </c>
      <c r="F618" s="2091" t="s">
        <v>2361</v>
      </c>
      <c r="G618" s="2091" t="s">
        <v>24</v>
      </c>
      <c r="H618" s="2091" t="s">
        <v>24</v>
      </c>
      <c r="I618" s="2091" t="s">
        <v>752</v>
      </c>
    </row>
    <row r="619" spans="1:9" ht="11.25" customHeight="1">
      <c r="A619" s="2091" t="s">
        <v>2181</v>
      </c>
      <c r="B619" s="2091" t="s">
        <v>14</v>
      </c>
      <c r="C619" s="2091" t="s">
        <v>2473</v>
      </c>
      <c r="D619" s="2091" t="s">
        <v>2474</v>
      </c>
      <c r="E619" s="2091" t="s">
        <v>2475</v>
      </c>
      <c r="F619" s="2091" t="s">
        <v>2226</v>
      </c>
      <c r="G619" s="2091" t="s">
        <v>2476</v>
      </c>
      <c r="H619" s="2091" t="s">
        <v>24</v>
      </c>
      <c r="I619" s="2091" t="s">
        <v>752</v>
      </c>
    </row>
    <row r="620" spans="1:9" ht="11.25" customHeight="1">
      <c r="A620" s="2091" t="s">
        <v>2181</v>
      </c>
      <c r="B620" s="2091" t="s">
        <v>14</v>
      </c>
      <c r="C620" s="2091" t="s">
        <v>2477</v>
      </c>
      <c r="D620" s="2091" t="s">
        <v>2478</v>
      </c>
      <c r="E620" s="2091" t="s">
        <v>2479</v>
      </c>
      <c r="F620" s="2091" t="s">
        <v>2338</v>
      </c>
      <c r="G620" s="2091" t="s">
        <v>2480</v>
      </c>
      <c r="H620" s="2091" t="s">
        <v>24</v>
      </c>
      <c r="I620" s="2091" t="s">
        <v>752</v>
      </c>
    </row>
    <row r="621" spans="1:9" ht="11.25" customHeight="1">
      <c r="A621" s="2091" t="s">
        <v>2181</v>
      </c>
      <c r="B621" s="2091" t="s">
        <v>14</v>
      </c>
      <c r="C621" s="2091" t="s">
        <v>2481</v>
      </c>
      <c r="D621" s="2091" t="s">
        <v>2482</v>
      </c>
      <c r="E621" s="2091" t="s">
        <v>2483</v>
      </c>
      <c r="F621" s="2091" t="s">
        <v>2250</v>
      </c>
      <c r="G621" s="2091" t="s">
        <v>2484</v>
      </c>
      <c r="H621" s="2091" t="s">
        <v>24</v>
      </c>
      <c r="I621" s="2091" t="s">
        <v>752</v>
      </c>
    </row>
    <row r="622" spans="1:9" ht="11.25" customHeight="1">
      <c r="A622" s="2091" t="s">
        <v>2181</v>
      </c>
      <c r="B622" s="2091" t="s">
        <v>14</v>
      </c>
      <c r="C622" s="2091" t="s">
        <v>2485</v>
      </c>
      <c r="D622" s="2091" t="s">
        <v>2486</v>
      </c>
      <c r="E622" s="2091" t="s">
        <v>2487</v>
      </c>
      <c r="F622" s="2091" t="s">
        <v>2329</v>
      </c>
      <c r="G622" s="2091" t="s">
        <v>2488</v>
      </c>
      <c r="H622" s="2091" t="s">
        <v>24</v>
      </c>
      <c r="I622" s="2091" t="s">
        <v>752</v>
      </c>
    </row>
    <row r="623" spans="1:9" ht="11.25" customHeight="1">
      <c r="A623" s="2091" t="s">
        <v>2181</v>
      </c>
      <c r="B623" s="2091" t="s">
        <v>14</v>
      </c>
      <c r="C623" s="2091" t="s">
        <v>2489</v>
      </c>
      <c r="D623" s="2091" t="s">
        <v>2490</v>
      </c>
      <c r="E623" s="2091" t="s">
        <v>2491</v>
      </c>
      <c r="F623" s="2091" t="s">
        <v>2492</v>
      </c>
      <c r="G623" s="2091" t="s">
        <v>2493</v>
      </c>
      <c r="H623" s="2091" t="s">
        <v>24</v>
      </c>
      <c r="I623" s="2091" t="s">
        <v>752</v>
      </c>
    </row>
    <row r="624" spans="1:9" ht="11.25" customHeight="1">
      <c r="A624" s="2091" t="s">
        <v>2181</v>
      </c>
      <c r="B624" s="2091" t="s">
        <v>14</v>
      </c>
      <c r="C624" s="2091" t="s">
        <v>2494</v>
      </c>
      <c r="D624" s="2091" t="s">
        <v>2495</v>
      </c>
      <c r="E624" s="2091" t="s">
        <v>2496</v>
      </c>
      <c r="F624" s="2091" t="s">
        <v>2361</v>
      </c>
      <c r="G624" s="2091" t="s">
        <v>24</v>
      </c>
      <c r="H624" s="2091" t="s">
        <v>24</v>
      </c>
      <c r="I624" s="2091" t="s">
        <v>752</v>
      </c>
    </row>
    <row r="625" spans="1:9" ht="11.25" customHeight="1">
      <c r="A625" s="2091" t="s">
        <v>2181</v>
      </c>
      <c r="B625" s="2091" t="s">
        <v>14</v>
      </c>
      <c r="C625" s="2091" t="s">
        <v>2497</v>
      </c>
      <c r="D625" s="2091" t="s">
        <v>2498</v>
      </c>
      <c r="E625" s="2091" t="s">
        <v>2499</v>
      </c>
      <c r="F625" s="2091" t="s">
        <v>2500</v>
      </c>
      <c r="G625" s="2091" t="s">
        <v>2501</v>
      </c>
      <c r="H625" s="2091" t="s">
        <v>24</v>
      </c>
      <c r="I625" s="2091" t="s">
        <v>752</v>
      </c>
    </row>
    <row r="626" spans="1:9" ht="11.25" customHeight="1">
      <c r="A626" s="2091" t="s">
        <v>2181</v>
      </c>
      <c r="B626" s="2091" t="s">
        <v>14</v>
      </c>
      <c r="C626" s="2091" t="s">
        <v>2502</v>
      </c>
      <c r="D626" s="2091" t="s">
        <v>2503</v>
      </c>
      <c r="E626" s="2091" t="s">
        <v>2504</v>
      </c>
      <c r="F626" s="2091" t="s">
        <v>2463</v>
      </c>
      <c r="G626" s="2091" t="s">
        <v>2505</v>
      </c>
      <c r="H626" s="2091" t="s">
        <v>24</v>
      </c>
      <c r="I626" s="2091" t="s">
        <v>752</v>
      </c>
    </row>
    <row r="627" spans="1:9" ht="11.25" customHeight="1">
      <c r="A627" s="2091" t="s">
        <v>2181</v>
      </c>
      <c r="B627" s="2091" t="s">
        <v>14</v>
      </c>
      <c r="C627" s="2091" t="s">
        <v>2513</v>
      </c>
      <c r="D627" s="2091" t="s">
        <v>2514</v>
      </c>
      <c r="E627" s="2091" t="s">
        <v>2515</v>
      </c>
      <c r="F627" s="2091" t="s">
        <v>2255</v>
      </c>
      <c r="G627" s="2091" t="s">
        <v>2516</v>
      </c>
      <c r="H627" s="2091" t="s">
        <v>24</v>
      </c>
      <c r="I627" s="2091" t="s">
        <v>752</v>
      </c>
    </row>
    <row r="628" spans="1:9" ht="11.25" customHeight="1">
      <c r="A628" s="2091" t="s">
        <v>2181</v>
      </c>
      <c r="B628" s="2091" t="s">
        <v>14</v>
      </c>
      <c r="C628" s="2091" t="s">
        <v>2517</v>
      </c>
      <c r="D628" s="2091" t="s">
        <v>2518</v>
      </c>
      <c r="E628" s="2091" t="s">
        <v>2519</v>
      </c>
      <c r="F628" s="2091" t="s">
        <v>2455</v>
      </c>
      <c r="G628" s="2091" t="s">
        <v>2520</v>
      </c>
      <c r="H628" s="2091" t="s">
        <v>24</v>
      </c>
      <c r="I628" s="2091" t="s">
        <v>752</v>
      </c>
    </row>
    <row r="629" spans="1:9" ht="11.25" customHeight="1">
      <c r="A629" s="2091" t="s">
        <v>2181</v>
      </c>
      <c r="B629" s="2091" t="s">
        <v>14</v>
      </c>
      <c r="C629" s="2091" t="s">
        <v>2524</v>
      </c>
      <c r="D629" s="2091" t="s">
        <v>2525</v>
      </c>
      <c r="E629" s="2091" t="s">
        <v>2526</v>
      </c>
      <c r="F629" s="2091" t="s">
        <v>2338</v>
      </c>
      <c r="G629" s="2091" t="s">
        <v>2527</v>
      </c>
      <c r="H629" s="2091" t="s">
        <v>24</v>
      </c>
      <c r="I629" s="2091" t="s">
        <v>752</v>
      </c>
    </row>
    <row r="630" spans="1:9" ht="11.25" customHeight="1">
      <c r="A630" s="2091" t="s">
        <v>2181</v>
      </c>
      <c r="B630" s="2091" t="s">
        <v>14</v>
      </c>
      <c r="C630" s="2091" t="s">
        <v>3465</v>
      </c>
      <c r="D630" s="2091" t="s">
        <v>3466</v>
      </c>
      <c r="E630" s="2091" t="s">
        <v>3467</v>
      </c>
      <c r="F630" s="2091" t="s">
        <v>2578</v>
      </c>
      <c r="G630" s="2091" t="s">
        <v>24</v>
      </c>
      <c r="H630" s="2091" t="s">
        <v>24</v>
      </c>
      <c r="I630" s="2091" t="s">
        <v>752</v>
      </c>
    </row>
    <row r="631" spans="1:9" ht="11.25" customHeight="1">
      <c r="A631" s="2091" t="s">
        <v>2181</v>
      </c>
      <c r="B631" s="2091" t="s">
        <v>14</v>
      </c>
      <c r="C631" s="2091" t="s">
        <v>2528</v>
      </c>
      <c r="D631" s="2091" t="s">
        <v>2529</v>
      </c>
      <c r="E631" s="2091" t="s">
        <v>2530</v>
      </c>
      <c r="F631" s="2091" t="s">
        <v>2250</v>
      </c>
      <c r="G631" s="2091" t="s">
        <v>2531</v>
      </c>
      <c r="H631" s="2091" t="s">
        <v>24</v>
      </c>
      <c r="I631" s="2091" t="s">
        <v>752</v>
      </c>
    </row>
    <row r="632" spans="1:9" ht="11.25" customHeight="1">
      <c r="A632" s="2091" t="s">
        <v>2181</v>
      </c>
      <c r="B632" s="2091" t="s">
        <v>14</v>
      </c>
      <c r="C632" s="2091" t="s">
        <v>2536</v>
      </c>
      <c r="D632" s="2091" t="s">
        <v>2537</v>
      </c>
      <c r="E632" s="2091" t="s">
        <v>2538</v>
      </c>
      <c r="F632" s="2091" t="s">
        <v>2343</v>
      </c>
      <c r="G632" s="2091" t="s">
        <v>24</v>
      </c>
      <c r="H632" s="2091" t="s">
        <v>24</v>
      </c>
      <c r="I632" s="2091" t="s">
        <v>752</v>
      </c>
    </row>
    <row r="633" spans="1:9" ht="11.25" customHeight="1">
      <c r="A633" s="2091" t="s">
        <v>2181</v>
      </c>
      <c r="B633" s="2091" t="s">
        <v>14</v>
      </c>
      <c r="C633" s="2091" t="s">
        <v>3468</v>
      </c>
      <c r="D633" s="2091" t="s">
        <v>3469</v>
      </c>
      <c r="E633" s="2091" t="s">
        <v>3470</v>
      </c>
      <c r="F633" s="2091" t="s">
        <v>3471</v>
      </c>
      <c r="G633" s="2091" t="s">
        <v>24</v>
      </c>
      <c r="H633" s="2091" t="s">
        <v>24</v>
      </c>
      <c r="I633" s="2091" t="s">
        <v>752</v>
      </c>
    </row>
    <row r="634" spans="1:9" ht="11.25" customHeight="1">
      <c r="A634" s="2091" t="s">
        <v>2181</v>
      </c>
      <c r="B634" s="2091" t="s">
        <v>14</v>
      </c>
      <c r="C634" s="2091" t="s">
        <v>2539</v>
      </c>
      <c r="D634" s="2091" t="s">
        <v>2540</v>
      </c>
      <c r="E634" s="2091" t="s">
        <v>2541</v>
      </c>
      <c r="F634" s="2091" t="s">
        <v>2451</v>
      </c>
      <c r="G634" s="2091" t="s">
        <v>24</v>
      </c>
      <c r="H634" s="2091" t="s">
        <v>24</v>
      </c>
      <c r="I634" s="2091" t="s">
        <v>752</v>
      </c>
    </row>
    <row r="635" spans="1:9" ht="11.25" customHeight="1">
      <c r="A635" s="2091" t="s">
        <v>2181</v>
      </c>
      <c r="B635" s="2091" t="s">
        <v>14</v>
      </c>
      <c r="C635" s="2091" t="s">
        <v>2545</v>
      </c>
      <c r="D635" s="2091" t="s">
        <v>2546</v>
      </c>
      <c r="E635" s="2091" t="s">
        <v>2547</v>
      </c>
      <c r="F635" s="2091" t="s">
        <v>2451</v>
      </c>
      <c r="G635" s="2091" t="s">
        <v>24</v>
      </c>
      <c r="H635" s="2091" t="s">
        <v>24</v>
      </c>
      <c r="I635" s="2091" t="s">
        <v>752</v>
      </c>
    </row>
    <row r="636" spans="1:9" ht="11.25" customHeight="1">
      <c r="A636" s="2091" t="s">
        <v>2181</v>
      </c>
      <c r="B636" s="2091" t="s">
        <v>14</v>
      </c>
      <c r="C636" s="2091" t="s">
        <v>2548</v>
      </c>
      <c r="D636" s="2091" t="s">
        <v>2549</v>
      </c>
      <c r="E636" s="2091" t="s">
        <v>2550</v>
      </c>
      <c r="F636" s="2091" t="s">
        <v>2455</v>
      </c>
      <c r="G636" s="2091" t="s">
        <v>2551</v>
      </c>
      <c r="H636" s="2091" t="s">
        <v>24</v>
      </c>
      <c r="I636" s="2091" t="s">
        <v>752</v>
      </c>
    </row>
    <row r="637" spans="1:9" ht="11.25" customHeight="1">
      <c r="A637" s="2091" t="s">
        <v>2181</v>
      </c>
      <c r="B637" s="2091" t="s">
        <v>14</v>
      </c>
      <c r="C637" s="2091" t="s">
        <v>2552</v>
      </c>
      <c r="D637" s="2091" t="s">
        <v>2553</v>
      </c>
      <c r="E637" s="2091" t="s">
        <v>2554</v>
      </c>
      <c r="F637" s="2091" t="s">
        <v>2325</v>
      </c>
      <c r="G637" s="2091" t="s">
        <v>2555</v>
      </c>
      <c r="H637" s="2091" t="s">
        <v>24</v>
      </c>
      <c r="I637" s="2091" t="s">
        <v>752</v>
      </c>
    </row>
    <row r="638" spans="1:9" ht="11.25" customHeight="1">
      <c r="A638" s="2091" t="s">
        <v>2181</v>
      </c>
      <c r="B638" s="2091" t="s">
        <v>14</v>
      </c>
      <c r="C638" s="2091" t="s">
        <v>2556</v>
      </c>
      <c r="D638" s="2091" t="s">
        <v>2557</v>
      </c>
      <c r="E638" s="2091" t="s">
        <v>2558</v>
      </c>
      <c r="F638" s="2091" t="s">
        <v>2317</v>
      </c>
      <c r="G638" s="2091" t="s">
        <v>2559</v>
      </c>
      <c r="H638" s="2091" t="s">
        <v>24</v>
      </c>
      <c r="I638" s="2091" t="s">
        <v>752</v>
      </c>
    </row>
    <row r="639" spans="1:9" ht="11.25" customHeight="1">
      <c r="A639" s="2091" t="s">
        <v>2181</v>
      </c>
      <c r="B639" s="2091" t="s">
        <v>14</v>
      </c>
      <c r="C639" s="2091" t="s">
        <v>2564</v>
      </c>
      <c r="D639" s="2091" t="s">
        <v>2565</v>
      </c>
      <c r="E639" s="2091" t="s">
        <v>2566</v>
      </c>
      <c r="F639" s="2091" t="s">
        <v>2463</v>
      </c>
      <c r="G639" s="2091" t="s">
        <v>24</v>
      </c>
      <c r="H639" s="2091" t="s">
        <v>24</v>
      </c>
      <c r="I639" s="2091" t="s">
        <v>752</v>
      </c>
    </row>
    <row r="640" spans="1:9" ht="11.25" customHeight="1">
      <c r="A640" s="2091" t="s">
        <v>2181</v>
      </c>
      <c r="B640" s="2091" t="s">
        <v>14</v>
      </c>
      <c r="C640" s="2091" t="s">
        <v>3472</v>
      </c>
      <c r="D640" s="2091" t="s">
        <v>3473</v>
      </c>
      <c r="E640" s="2091" t="s">
        <v>3474</v>
      </c>
      <c r="F640" s="2091" t="s">
        <v>2405</v>
      </c>
      <c r="G640" s="2091" t="s">
        <v>24</v>
      </c>
      <c r="H640" s="2091" t="s">
        <v>24</v>
      </c>
      <c r="I640" s="2091" t="s">
        <v>752</v>
      </c>
    </row>
    <row r="641" spans="1:9" ht="11.25" customHeight="1">
      <c r="A641" s="2091" t="s">
        <v>2181</v>
      </c>
      <c r="B641" s="2091" t="s">
        <v>14</v>
      </c>
      <c r="C641" s="2091" t="s">
        <v>2571</v>
      </c>
      <c r="D641" s="2091" t="s">
        <v>2572</v>
      </c>
      <c r="E641" s="2091" t="s">
        <v>2573</v>
      </c>
      <c r="F641" s="2091" t="s">
        <v>2226</v>
      </c>
      <c r="G641" s="2091" t="s">
        <v>2574</v>
      </c>
      <c r="H641" s="2091" t="s">
        <v>24</v>
      </c>
      <c r="I641" s="2091" t="s">
        <v>752</v>
      </c>
    </row>
    <row r="642" spans="1:9" ht="11.25" customHeight="1">
      <c r="A642" s="2091" t="s">
        <v>2181</v>
      </c>
      <c r="B642" s="2091" t="s">
        <v>14</v>
      </c>
      <c r="C642" s="2091" t="s">
        <v>3475</v>
      </c>
      <c r="D642" s="2091" t="s">
        <v>3476</v>
      </c>
      <c r="E642" s="2091" t="s">
        <v>3477</v>
      </c>
      <c r="F642" s="2091" t="s">
        <v>2329</v>
      </c>
      <c r="G642" s="2091" t="s">
        <v>3478</v>
      </c>
      <c r="H642" s="2091" t="s">
        <v>24</v>
      </c>
      <c r="I642" s="2091" t="s">
        <v>752</v>
      </c>
    </row>
    <row r="643" spans="1:9" ht="11.25" customHeight="1">
      <c r="A643" s="2091" t="s">
        <v>2181</v>
      </c>
      <c r="B643" s="2091" t="s">
        <v>14</v>
      </c>
      <c r="C643" s="2091" t="s">
        <v>2575</v>
      </c>
      <c r="D643" s="2091" t="s">
        <v>2576</v>
      </c>
      <c r="E643" s="2091" t="s">
        <v>2577</v>
      </c>
      <c r="F643" s="2091" t="s">
        <v>2578</v>
      </c>
      <c r="G643" s="2091" t="s">
        <v>24</v>
      </c>
      <c r="H643" s="2091" t="s">
        <v>24</v>
      </c>
      <c r="I643" s="2091" t="s">
        <v>752</v>
      </c>
    </row>
    <row r="644" spans="1:9" ht="11.25" customHeight="1">
      <c r="A644" s="2091" t="s">
        <v>2181</v>
      </c>
      <c r="B644" s="2091" t="s">
        <v>14</v>
      </c>
      <c r="C644" s="2091" t="s">
        <v>2579</v>
      </c>
      <c r="D644" s="2091" t="s">
        <v>2580</v>
      </c>
      <c r="E644" s="2091" t="s">
        <v>2581</v>
      </c>
      <c r="F644" s="2091" t="s">
        <v>2512</v>
      </c>
      <c r="G644" s="2091" t="s">
        <v>2582</v>
      </c>
      <c r="H644" s="2091" t="s">
        <v>24</v>
      </c>
      <c r="I644" s="2091" t="s">
        <v>752</v>
      </c>
    </row>
    <row r="645" spans="1:9" ht="11.25" customHeight="1">
      <c r="A645" s="2091" t="s">
        <v>2181</v>
      </c>
      <c r="B645" s="2091" t="s">
        <v>14</v>
      </c>
      <c r="C645" s="2091" t="s">
        <v>2586</v>
      </c>
      <c r="D645" s="2091" t="s">
        <v>2587</v>
      </c>
      <c r="E645" s="2091" t="s">
        <v>2588</v>
      </c>
      <c r="F645" s="2091" t="s">
        <v>2372</v>
      </c>
      <c r="G645" s="2091" t="s">
        <v>24</v>
      </c>
      <c r="H645" s="2091" t="s">
        <v>2589</v>
      </c>
      <c r="I645" s="2091" t="s">
        <v>752</v>
      </c>
    </row>
    <row r="646" spans="1:9" ht="11.25" customHeight="1">
      <c r="A646" s="2091" t="s">
        <v>2181</v>
      </c>
      <c r="B646" s="2091" t="s">
        <v>14</v>
      </c>
      <c r="C646" s="2091" t="s">
        <v>3479</v>
      </c>
      <c r="D646" s="2091" t="s">
        <v>3480</v>
      </c>
      <c r="E646" s="2091" t="s">
        <v>3481</v>
      </c>
      <c r="F646" s="2091" t="s">
        <v>2405</v>
      </c>
      <c r="G646" s="2091" t="s">
        <v>24</v>
      </c>
      <c r="H646" s="2091" t="s">
        <v>24</v>
      </c>
      <c r="I646" s="2091" t="s">
        <v>752</v>
      </c>
    </row>
    <row r="647" spans="1:9" ht="11.25" customHeight="1">
      <c r="A647" s="2091" t="s">
        <v>2181</v>
      </c>
      <c r="B647" s="2091" t="s">
        <v>14</v>
      </c>
      <c r="C647" s="2091" t="s">
        <v>3482</v>
      </c>
      <c r="D647" s="2091" t="s">
        <v>3483</v>
      </c>
      <c r="E647" s="2091" t="s">
        <v>3484</v>
      </c>
      <c r="F647" s="2091" t="s">
        <v>2463</v>
      </c>
      <c r="G647" s="2091" t="s">
        <v>3485</v>
      </c>
      <c r="H647" s="2091" t="s">
        <v>24</v>
      </c>
      <c r="I647" s="2091" t="s">
        <v>752</v>
      </c>
    </row>
    <row r="648" spans="1:9" ht="11.25" customHeight="1">
      <c r="A648" s="2091" t="s">
        <v>2181</v>
      </c>
      <c r="B648" s="2091" t="s">
        <v>14</v>
      </c>
      <c r="C648" s="2091" t="s">
        <v>3486</v>
      </c>
      <c r="D648" s="2091" t="s">
        <v>3487</v>
      </c>
      <c r="E648" s="2091" t="s">
        <v>3488</v>
      </c>
      <c r="F648" s="2091" t="s">
        <v>2242</v>
      </c>
      <c r="G648" s="2091" t="s">
        <v>24</v>
      </c>
      <c r="H648" s="2091" t="s">
        <v>24</v>
      </c>
      <c r="I648" s="2091" t="s">
        <v>752</v>
      </c>
    </row>
    <row r="649" spans="1:9" ht="11.25" customHeight="1">
      <c r="A649" s="2091" t="s">
        <v>2181</v>
      </c>
      <c r="B649" s="2091" t="s">
        <v>14</v>
      </c>
      <c r="C649" s="2091" t="s">
        <v>2594</v>
      </c>
      <c r="D649" s="2091" t="s">
        <v>2595</v>
      </c>
      <c r="E649" s="2091" t="s">
        <v>2596</v>
      </c>
      <c r="F649" s="2091" t="s">
        <v>2492</v>
      </c>
      <c r="G649" s="2091" t="s">
        <v>2597</v>
      </c>
      <c r="H649" s="2091" t="s">
        <v>24</v>
      </c>
      <c r="I649" s="2091" t="s">
        <v>752</v>
      </c>
    </row>
    <row r="650" spans="1:9" ht="11.25" customHeight="1">
      <c r="A650" s="2091" t="s">
        <v>2181</v>
      </c>
      <c r="B650" s="2091" t="s">
        <v>14</v>
      </c>
      <c r="C650" s="2091" t="s">
        <v>2602</v>
      </c>
      <c r="D650" s="2091" t="s">
        <v>2603</v>
      </c>
      <c r="E650" s="2091" t="s">
        <v>2604</v>
      </c>
      <c r="F650" s="2091" t="s">
        <v>2605</v>
      </c>
      <c r="G650" s="2091" t="s">
        <v>2606</v>
      </c>
      <c r="H650" s="2091" t="s">
        <v>24</v>
      </c>
      <c r="I650" s="2091" t="s">
        <v>752</v>
      </c>
    </row>
    <row r="651" spans="1:9" ht="11.25" customHeight="1">
      <c r="A651" s="2091" t="s">
        <v>2181</v>
      </c>
      <c r="B651" s="2091" t="s">
        <v>14</v>
      </c>
      <c r="C651" s="2091" t="s">
        <v>3352</v>
      </c>
      <c r="D651" s="2091" t="s">
        <v>3353</v>
      </c>
      <c r="E651" s="2091" t="s">
        <v>3354</v>
      </c>
      <c r="F651" s="2091" t="s">
        <v>3355</v>
      </c>
      <c r="G651" s="2091" t="s">
        <v>3356</v>
      </c>
      <c r="H651" s="2091" t="s">
        <v>24</v>
      </c>
      <c r="I651" s="2091" t="s">
        <v>752</v>
      </c>
    </row>
    <row r="652" spans="1:9" ht="11.25" customHeight="1">
      <c r="A652" s="2091" t="s">
        <v>2181</v>
      </c>
      <c r="B652" s="2091" t="s">
        <v>14</v>
      </c>
      <c r="C652" s="2091" t="s">
        <v>3489</v>
      </c>
      <c r="D652" s="2091" t="s">
        <v>3490</v>
      </c>
      <c r="E652" s="2091" t="s">
        <v>3491</v>
      </c>
      <c r="F652" s="2091" t="s">
        <v>2405</v>
      </c>
      <c r="G652" s="2091" t="s">
        <v>24</v>
      </c>
      <c r="H652" s="2091" t="s">
        <v>24</v>
      </c>
      <c r="I652" s="2091" t="s">
        <v>752</v>
      </c>
    </row>
    <row r="653" spans="1:9" ht="11.25" customHeight="1">
      <c r="A653" s="2091" t="s">
        <v>2181</v>
      </c>
      <c r="B653" s="2091" t="s">
        <v>14</v>
      </c>
      <c r="C653" s="2091" t="s">
        <v>3357</v>
      </c>
      <c r="D653" s="2091" t="s">
        <v>3358</v>
      </c>
      <c r="E653" s="2091" t="s">
        <v>3359</v>
      </c>
      <c r="F653" s="2091" t="s">
        <v>2334</v>
      </c>
      <c r="G653" s="2091" t="s">
        <v>3360</v>
      </c>
      <c r="H653" s="2091" t="s">
        <v>24</v>
      </c>
      <c r="I653" s="2091" t="s">
        <v>752</v>
      </c>
    </row>
    <row r="654" spans="1:9" ht="11.25" customHeight="1">
      <c r="A654" s="2091" t="s">
        <v>2181</v>
      </c>
      <c r="B654" s="2091" t="s">
        <v>14</v>
      </c>
      <c r="C654" s="2091" t="s">
        <v>3492</v>
      </c>
      <c r="D654" s="2091" t="s">
        <v>3493</v>
      </c>
      <c r="E654" s="2091" t="s">
        <v>3494</v>
      </c>
      <c r="F654" s="2091" t="s">
        <v>2343</v>
      </c>
      <c r="G654" s="2091" t="s">
        <v>2658</v>
      </c>
      <c r="H654" s="2091" t="s">
        <v>24</v>
      </c>
      <c r="I654" s="2091" t="s">
        <v>752</v>
      </c>
    </row>
    <row r="655" spans="1:9" ht="11.25" customHeight="1">
      <c r="A655" s="2091" t="s">
        <v>2181</v>
      </c>
      <c r="B655" s="2091" t="s">
        <v>14</v>
      </c>
      <c r="C655" s="2091" t="s">
        <v>2617</v>
      </c>
      <c r="D655" s="2091" t="s">
        <v>2618</v>
      </c>
      <c r="E655" s="2091" t="s">
        <v>2619</v>
      </c>
      <c r="F655" s="2091" t="s">
        <v>2620</v>
      </c>
      <c r="G655" s="2091" t="s">
        <v>2621</v>
      </c>
      <c r="H655" s="2091" t="s">
        <v>24</v>
      </c>
      <c r="I655" s="2091" t="s">
        <v>752</v>
      </c>
    </row>
    <row r="656" spans="1:9" ht="11.25" customHeight="1">
      <c r="A656" s="2091" t="s">
        <v>2181</v>
      </c>
      <c r="B656" s="2091" t="s">
        <v>14</v>
      </c>
      <c r="C656" s="2091" t="s">
        <v>2625</v>
      </c>
      <c r="D656" s="2091" t="s">
        <v>2626</v>
      </c>
      <c r="E656" s="2091" t="s">
        <v>2627</v>
      </c>
      <c r="F656" s="2091" t="s">
        <v>2268</v>
      </c>
      <c r="G656" s="2091" t="s">
        <v>24</v>
      </c>
      <c r="H656" s="2091" t="s">
        <v>24</v>
      </c>
      <c r="I656" s="2091" t="s">
        <v>752</v>
      </c>
    </row>
    <row r="657" spans="1:9" ht="11.25" customHeight="1">
      <c r="A657" s="2091" t="s">
        <v>2181</v>
      </c>
      <c r="B657" s="2091" t="s">
        <v>14</v>
      </c>
      <c r="C657" s="2091" t="s">
        <v>2628</v>
      </c>
      <c r="D657" s="2091" t="s">
        <v>2629</v>
      </c>
      <c r="E657" s="2091" t="s">
        <v>2630</v>
      </c>
      <c r="F657" s="2091" t="s">
        <v>2631</v>
      </c>
      <c r="G657" s="2091" t="s">
        <v>2632</v>
      </c>
      <c r="H657" s="2091" t="s">
        <v>24</v>
      </c>
      <c r="I657" s="2091" t="s">
        <v>752</v>
      </c>
    </row>
    <row r="658" spans="1:9" ht="11.25" customHeight="1">
      <c r="A658" s="2091" t="s">
        <v>2181</v>
      </c>
      <c r="B658" s="2091" t="s">
        <v>14</v>
      </c>
      <c r="C658" s="2091" t="s">
        <v>2633</v>
      </c>
      <c r="D658" s="2091" t="s">
        <v>2634</v>
      </c>
      <c r="E658" s="2091" t="s">
        <v>2635</v>
      </c>
      <c r="F658" s="2091" t="s">
        <v>2361</v>
      </c>
      <c r="G658" s="2091" t="s">
        <v>2636</v>
      </c>
      <c r="H658" s="2091" t="s">
        <v>24</v>
      </c>
      <c r="I658" s="2091" t="s">
        <v>752</v>
      </c>
    </row>
    <row r="659" spans="1:9" ht="11.25" customHeight="1">
      <c r="A659" s="2091" t="s">
        <v>2181</v>
      </c>
      <c r="B659" s="2091" t="s">
        <v>14</v>
      </c>
      <c r="C659" s="2091" t="s">
        <v>2637</v>
      </c>
      <c r="D659" s="2091" t="s">
        <v>2638</v>
      </c>
      <c r="E659" s="2091" t="s">
        <v>2393</v>
      </c>
      <c r="F659" s="2091" t="s">
        <v>2639</v>
      </c>
      <c r="G659" s="2091" t="s">
        <v>2640</v>
      </c>
      <c r="H659" s="2091" t="s">
        <v>24</v>
      </c>
      <c r="I659" s="2091" t="s">
        <v>752</v>
      </c>
    </row>
    <row r="660" spans="1:9" ht="11.25" customHeight="1">
      <c r="A660" s="2091" t="s">
        <v>2181</v>
      </c>
      <c r="B660" s="2091" t="s">
        <v>14</v>
      </c>
      <c r="C660" s="2091" t="s">
        <v>3495</v>
      </c>
      <c r="D660" s="2091" t="s">
        <v>3496</v>
      </c>
      <c r="E660" s="2091" t="s">
        <v>2296</v>
      </c>
      <c r="F660" s="2091" t="s">
        <v>3497</v>
      </c>
      <c r="G660" s="2091" t="s">
        <v>24</v>
      </c>
      <c r="H660" s="2091" t="s">
        <v>24</v>
      </c>
      <c r="I660" s="2091" t="s">
        <v>752</v>
      </c>
    </row>
    <row r="661" spans="1:9" ht="11.25" customHeight="1">
      <c r="A661" s="2091" t="s">
        <v>2181</v>
      </c>
      <c r="B661" s="2091" t="s">
        <v>14</v>
      </c>
      <c r="C661" s="2091" t="s">
        <v>3498</v>
      </c>
      <c r="D661" s="2091" t="s">
        <v>3499</v>
      </c>
      <c r="E661" s="2091" t="s">
        <v>2296</v>
      </c>
      <c r="F661" s="2091" t="s">
        <v>3500</v>
      </c>
      <c r="G661" s="2091" t="s">
        <v>3501</v>
      </c>
      <c r="H661" s="2091" t="s">
        <v>24</v>
      </c>
      <c r="I661" s="2091" t="s">
        <v>752</v>
      </c>
    </row>
    <row r="662" spans="1:9" ht="11.25" customHeight="1">
      <c r="A662" s="2091" t="s">
        <v>2181</v>
      </c>
      <c r="B662" s="2091" t="s">
        <v>14</v>
      </c>
      <c r="C662" s="2091" t="s">
        <v>2644</v>
      </c>
      <c r="D662" s="2091" t="s">
        <v>2645</v>
      </c>
      <c r="E662" s="2091" t="s">
        <v>2646</v>
      </c>
      <c r="F662" s="2091" t="s">
        <v>2429</v>
      </c>
      <c r="G662" s="2091" t="s">
        <v>2647</v>
      </c>
      <c r="H662" s="2091" t="s">
        <v>2648</v>
      </c>
      <c r="I662" s="2091" t="s">
        <v>752</v>
      </c>
    </row>
    <row r="663" spans="1:9" ht="11.25" customHeight="1">
      <c r="A663" s="2091" t="s">
        <v>2181</v>
      </c>
      <c r="B663" s="2091" t="s">
        <v>14</v>
      </c>
      <c r="C663" s="2091" t="s">
        <v>2655</v>
      </c>
      <c r="D663" s="2091" t="s">
        <v>2656</v>
      </c>
      <c r="E663" s="2091" t="s">
        <v>2657</v>
      </c>
      <c r="F663" s="2091" t="s">
        <v>2260</v>
      </c>
      <c r="G663" s="2091" t="s">
        <v>2658</v>
      </c>
      <c r="H663" s="2091" t="s">
        <v>24</v>
      </c>
      <c r="I663" s="2091" t="s">
        <v>752</v>
      </c>
    </row>
    <row r="664" spans="1:9" ht="11.25" customHeight="1">
      <c r="A664" s="2091" t="s">
        <v>2181</v>
      </c>
      <c r="B664" s="2091" t="s">
        <v>14</v>
      </c>
      <c r="C664" s="2091" t="s">
        <v>2659</v>
      </c>
      <c r="D664" s="2091" t="s">
        <v>2660</v>
      </c>
      <c r="E664" s="2091" t="s">
        <v>2661</v>
      </c>
      <c r="F664" s="2091" t="s">
        <v>2317</v>
      </c>
      <c r="G664" s="2091" t="s">
        <v>2662</v>
      </c>
      <c r="H664" s="2091" t="s">
        <v>24</v>
      </c>
      <c r="I664" s="2091" t="s">
        <v>752</v>
      </c>
    </row>
    <row r="665" spans="1:9" ht="11.25" customHeight="1">
      <c r="A665" s="2091" t="s">
        <v>2181</v>
      </c>
      <c r="B665" s="2091" t="s">
        <v>14</v>
      </c>
      <c r="C665" s="2091" t="s">
        <v>2663</v>
      </c>
      <c r="D665" s="2091" t="s">
        <v>2664</v>
      </c>
      <c r="E665" s="2091" t="s">
        <v>2665</v>
      </c>
      <c r="F665" s="2091" t="s">
        <v>2226</v>
      </c>
      <c r="G665" s="2091" t="s">
        <v>24</v>
      </c>
      <c r="H665" s="2091" t="s">
        <v>24</v>
      </c>
      <c r="I665" s="2091" t="s">
        <v>752</v>
      </c>
    </row>
    <row r="666" spans="1:9" ht="11.25" customHeight="1">
      <c r="A666" s="2091" t="s">
        <v>2181</v>
      </c>
      <c r="B666" s="2091" t="s">
        <v>14</v>
      </c>
      <c r="C666" s="2091" t="s">
        <v>2672</v>
      </c>
      <c r="D666" s="2091" t="s">
        <v>2673</v>
      </c>
      <c r="E666" s="2091" t="s">
        <v>2674</v>
      </c>
      <c r="F666" s="2091" t="s">
        <v>2255</v>
      </c>
      <c r="G666" s="2091" t="s">
        <v>2675</v>
      </c>
      <c r="H666" s="2091" t="s">
        <v>24</v>
      </c>
      <c r="I666" s="2091" t="s">
        <v>752</v>
      </c>
    </row>
    <row r="667" spans="1:9" ht="11.25" customHeight="1">
      <c r="A667" s="2091" t="s">
        <v>2181</v>
      </c>
      <c r="B667" s="2091" t="s">
        <v>14</v>
      </c>
      <c r="C667" s="2091" t="s">
        <v>2676</v>
      </c>
      <c r="D667" s="2091" t="s">
        <v>2677</v>
      </c>
      <c r="E667" s="2091" t="s">
        <v>2678</v>
      </c>
      <c r="F667" s="2091" t="s">
        <v>2679</v>
      </c>
      <c r="G667" s="2091" t="s">
        <v>24</v>
      </c>
      <c r="H667" s="2091" t="s">
        <v>24</v>
      </c>
      <c r="I667" s="2091" t="s">
        <v>752</v>
      </c>
    </row>
    <row r="668" spans="1:9" ht="11.25" customHeight="1">
      <c r="A668" s="2091" t="s">
        <v>2181</v>
      </c>
      <c r="B668" s="2091" t="s">
        <v>14</v>
      </c>
      <c r="C668" s="2091" t="s">
        <v>3502</v>
      </c>
      <c r="D668" s="2091" t="s">
        <v>3503</v>
      </c>
      <c r="E668" s="2091" t="s">
        <v>3504</v>
      </c>
      <c r="F668" s="2091" t="s">
        <v>2198</v>
      </c>
      <c r="G668" s="2091" t="s">
        <v>24</v>
      </c>
      <c r="H668" s="2091" t="s">
        <v>24</v>
      </c>
      <c r="I668" s="2091" t="s">
        <v>752</v>
      </c>
    </row>
    <row r="669" spans="1:9" ht="11.25" customHeight="1">
      <c r="A669" s="2091" t="s">
        <v>2181</v>
      </c>
      <c r="B669" s="2091" t="s">
        <v>14</v>
      </c>
      <c r="C669" s="2091" t="s">
        <v>2680</v>
      </c>
      <c r="D669" s="2091" t="s">
        <v>2681</v>
      </c>
      <c r="E669" s="2091" t="s">
        <v>2682</v>
      </c>
      <c r="F669" s="2091" t="s">
        <v>2683</v>
      </c>
      <c r="G669" s="2091" t="s">
        <v>24</v>
      </c>
      <c r="H669" s="2091" t="s">
        <v>24</v>
      </c>
      <c r="I669" s="2091" t="s">
        <v>752</v>
      </c>
    </row>
    <row r="670" spans="1:9" ht="11.25" customHeight="1">
      <c r="A670" s="2091" t="s">
        <v>2181</v>
      </c>
      <c r="B670" s="2091" t="s">
        <v>14</v>
      </c>
      <c r="C670" s="2091" t="s">
        <v>2687</v>
      </c>
      <c r="D670" s="2091" t="s">
        <v>2688</v>
      </c>
      <c r="E670" s="2091" t="s">
        <v>2689</v>
      </c>
      <c r="F670" s="2091" t="s">
        <v>2578</v>
      </c>
      <c r="G670" s="2091" t="s">
        <v>24</v>
      </c>
      <c r="H670" s="2091" t="s">
        <v>24</v>
      </c>
      <c r="I670" s="2091" t="s">
        <v>752</v>
      </c>
    </row>
    <row r="671" spans="1:9" ht="11.25" customHeight="1">
      <c r="A671" s="2091" t="s">
        <v>2181</v>
      </c>
      <c r="B671" s="2091" t="s">
        <v>14</v>
      </c>
      <c r="C671" s="2091" t="s">
        <v>3505</v>
      </c>
      <c r="D671" s="2091" t="s">
        <v>3506</v>
      </c>
      <c r="E671" s="2091" t="s">
        <v>3507</v>
      </c>
      <c r="F671" s="2091" t="s">
        <v>2226</v>
      </c>
      <c r="G671" s="2091" t="s">
        <v>24</v>
      </c>
      <c r="H671" s="2091" t="s">
        <v>24</v>
      </c>
      <c r="I671" s="2091" t="s">
        <v>752</v>
      </c>
    </row>
    <row r="672" spans="1:9" ht="11.25" customHeight="1">
      <c r="A672" s="2091" t="s">
        <v>2181</v>
      </c>
      <c r="B672" s="2091" t="s">
        <v>14</v>
      </c>
      <c r="C672" s="2091" t="s">
        <v>3508</v>
      </c>
      <c r="D672" s="2091" t="s">
        <v>3509</v>
      </c>
      <c r="E672" s="2091" t="s">
        <v>3510</v>
      </c>
      <c r="F672" s="2091" t="s">
        <v>2683</v>
      </c>
      <c r="G672" s="2091" t="s">
        <v>24</v>
      </c>
      <c r="H672" s="2091" t="s">
        <v>24</v>
      </c>
      <c r="I672" s="2091" t="s">
        <v>752</v>
      </c>
    </row>
    <row r="673" spans="1:9" ht="11.25" customHeight="1">
      <c r="A673" s="2091" t="s">
        <v>2181</v>
      </c>
      <c r="B673" s="2091" t="s">
        <v>14</v>
      </c>
      <c r="C673" s="2091" t="s">
        <v>3511</v>
      </c>
      <c r="D673" s="2091" t="s">
        <v>3512</v>
      </c>
      <c r="E673" s="2091" t="s">
        <v>3513</v>
      </c>
      <c r="F673" s="2091" t="s">
        <v>2578</v>
      </c>
      <c r="G673" s="2091" t="s">
        <v>24</v>
      </c>
      <c r="H673" s="2091" t="s">
        <v>24</v>
      </c>
      <c r="I673" s="2091" t="s">
        <v>752</v>
      </c>
    </row>
    <row r="674" spans="1:9" ht="11.25" customHeight="1">
      <c r="A674" s="2091" t="s">
        <v>2181</v>
      </c>
      <c r="B674" s="2091" t="s">
        <v>14</v>
      </c>
      <c r="C674" s="2091" t="s">
        <v>3514</v>
      </c>
      <c r="D674" s="2091" t="s">
        <v>3515</v>
      </c>
      <c r="E674" s="2091" t="s">
        <v>3516</v>
      </c>
      <c r="F674" s="2091" t="s">
        <v>3355</v>
      </c>
      <c r="G674" s="2091" t="s">
        <v>3517</v>
      </c>
      <c r="H674" s="2091" t="s">
        <v>24</v>
      </c>
      <c r="I674" s="2091" t="s">
        <v>752</v>
      </c>
    </row>
    <row r="675" spans="1:9" ht="11.25" customHeight="1">
      <c r="A675" s="2091" t="s">
        <v>2181</v>
      </c>
      <c r="B675" s="2091" t="s">
        <v>14</v>
      </c>
      <c r="C675" s="2091" t="s">
        <v>2693</v>
      </c>
      <c r="D675" s="2091" t="s">
        <v>2694</v>
      </c>
      <c r="E675" s="2091" t="s">
        <v>2695</v>
      </c>
      <c r="F675" s="2091" t="s">
        <v>2343</v>
      </c>
      <c r="G675" s="2091" t="s">
        <v>24</v>
      </c>
      <c r="H675" s="2091" t="s">
        <v>24</v>
      </c>
      <c r="I675" s="2091" t="s">
        <v>752</v>
      </c>
    </row>
    <row r="676" spans="1:9" ht="11.25" customHeight="1">
      <c r="A676" s="2091" t="s">
        <v>2181</v>
      </c>
      <c r="B676" s="2091" t="s">
        <v>14</v>
      </c>
      <c r="C676" s="2091" t="s">
        <v>2696</v>
      </c>
      <c r="D676" s="2091" t="s">
        <v>2697</v>
      </c>
      <c r="E676" s="2091" t="s">
        <v>2698</v>
      </c>
      <c r="F676" s="2091" t="s">
        <v>2343</v>
      </c>
      <c r="G676" s="2091" t="s">
        <v>2699</v>
      </c>
      <c r="H676" s="2091" t="s">
        <v>24</v>
      </c>
      <c r="I676" s="2091" t="s">
        <v>752</v>
      </c>
    </row>
    <row r="677" spans="1:9" ht="11.25" customHeight="1">
      <c r="A677" s="2091" t="s">
        <v>2181</v>
      </c>
      <c r="B677" s="2091" t="s">
        <v>14</v>
      </c>
      <c r="C677" s="2091" t="s">
        <v>2700</v>
      </c>
      <c r="D677" s="2091" t="s">
        <v>2701</v>
      </c>
      <c r="E677" s="2091" t="s">
        <v>2702</v>
      </c>
      <c r="F677" s="2091" t="s">
        <v>2226</v>
      </c>
      <c r="G677" s="2091" t="s">
        <v>24</v>
      </c>
      <c r="H677" s="2091" t="s">
        <v>24</v>
      </c>
      <c r="I677" s="2091" t="s">
        <v>752</v>
      </c>
    </row>
    <row r="678" spans="1:9" ht="11.25" customHeight="1">
      <c r="A678" s="2091" t="s">
        <v>2181</v>
      </c>
      <c r="B678" s="2091" t="s">
        <v>14</v>
      </c>
      <c r="C678" s="2091" t="s">
        <v>3518</v>
      </c>
      <c r="D678" s="2091" t="s">
        <v>3519</v>
      </c>
      <c r="E678" s="2091" t="s">
        <v>3520</v>
      </c>
      <c r="F678" s="2091" t="s">
        <v>2535</v>
      </c>
      <c r="G678" s="2091" t="s">
        <v>24</v>
      </c>
      <c r="H678" s="2091" t="s">
        <v>24</v>
      </c>
      <c r="I678" s="2091" t="s">
        <v>752</v>
      </c>
    </row>
    <row r="679" spans="1:9" ht="11.25" customHeight="1">
      <c r="A679" s="2091" t="s">
        <v>2181</v>
      </c>
      <c r="B679" s="2091" t="s">
        <v>14</v>
      </c>
      <c r="C679" s="2091" t="s">
        <v>2710</v>
      </c>
      <c r="D679" s="2091" t="s">
        <v>2711</v>
      </c>
      <c r="E679" s="2091" t="s">
        <v>2712</v>
      </c>
      <c r="F679" s="2091" t="s">
        <v>2317</v>
      </c>
      <c r="G679" s="2091" t="s">
        <v>2713</v>
      </c>
      <c r="H679" s="2091" t="s">
        <v>2714</v>
      </c>
      <c r="I679" s="2091" t="s">
        <v>752</v>
      </c>
    </row>
    <row r="680" spans="1:9" ht="11.25" customHeight="1">
      <c r="A680" s="2091" t="s">
        <v>2181</v>
      </c>
      <c r="B680" s="2091" t="s">
        <v>14</v>
      </c>
      <c r="C680" s="2091" t="s">
        <v>2715</v>
      </c>
      <c r="D680" s="2091" t="s">
        <v>2716</v>
      </c>
      <c r="E680" s="2091" t="s">
        <v>2717</v>
      </c>
      <c r="F680" s="2091" t="s">
        <v>2718</v>
      </c>
      <c r="G680" s="2091" t="s">
        <v>24</v>
      </c>
      <c r="H680" s="2091" t="s">
        <v>24</v>
      </c>
      <c r="I680" s="2091" t="s">
        <v>752</v>
      </c>
    </row>
    <row r="681" spans="1:9" ht="11.25" customHeight="1">
      <c r="A681" s="2091" t="s">
        <v>2181</v>
      </c>
      <c r="B681" s="2091" t="s">
        <v>14</v>
      </c>
      <c r="C681" s="2091" t="s">
        <v>2719</v>
      </c>
      <c r="D681" s="2091" t="s">
        <v>2720</v>
      </c>
      <c r="E681" s="2091" t="s">
        <v>2721</v>
      </c>
      <c r="F681" s="2091" t="s">
        <v>2361</v>
      </c>
      <c r="G681" s="2091" t="s">
        <v>24</v>
      </c>
      <c r="H681" s="2091" t="s">
        <v>24</v>
      </c>
      <c r="I681" s="2091" t="s">
        <v>752</v>
      </c>
    </row>
    <row r="682" spans="1:9" ht="11.25" customHeight="1">
      <c r="A682" s="2091" t="s">
        <v>2181</v>
      </c>
      <c r="B682" s="2091" t="s">
        <v>14</v>
      </c>
      <c r="C682" s="2091" t="s">
        <v>3521</v>
      </c>
      <c r="D682" s="2091" t="s">
        <v>3522</v>
      </c>
      <c r="E682" s="2091" t="s">
        <v>3523</v>
      </c>
      <c r="F682" s="2091" t="s">
        <v>2463</v>
      </c>
      <c r="G682" s="2091" t="s">
        <v>24</v>
      </c>
      <c r="H682" s="2091" t="s">
        <v>24</v>
      </c>
      <c r="I682" s="2091" t="s">
        <v>752</v>
      </c>
    </row>
    <row r="683" spans="1:9" ht="11.25" customHeight="1">
      <c r="A683" s="2091" t="s">
        <v>2181</v>
      </c>
      <c r="B683" s="2091" t="s">
        <v>14</v>
      </c>
      <c r="C683" s="2091" t="s">
        <v>3524</v>
      </c>
      <c r="D683" s="2091" t="s">
        <v>3525</v>
      </c>
      <c r="E683" s="2091" t="s">
        <v>3526</v>
      </c>
      <c r="F683" s="2091" t="s">
        <v>2709</v>
      </c>
      <c r="G683" s="2091" t="s">
        <v>3527</v>
      </c>
      <c r="H683" s="2091" t="s">
        <v>24</v>
      </c>
      <c r="I683" s="2091" t="s">
        <v>752</v>
      </c>
    </row>
    <row r="684" spans="1:9" ht="11.25" customHeight="1">
      <c r="A684" s="2091" t="s">
        <v>2181</v>
      </c>
      <c r="B684" s="2091" t="s">
        <v>14</v>
      </c>
      <c r="C684" s="2091" t="s">
        <v>2722</v>
      </c>
      <c r="D684" s="2091" t="s">
        <v>2723</v>
      </c>
      <c r="E684" s="2091" t="s">
        <v>2724</v>
      </c>
      <c r="F684" s="2091" t="s">
        <v>2725</v>
      </c>
      <c r="G684" s="2091" t="s">
        <v>24</v>
      </c>
      <c r="H684" s="2091" t="s">
        <v>24</v>
      </c>
      <c r="I684" s="2091" t="s">
        <v>752</v>
      </c>
    </row>
    <row r="685" spans="1:9" ht="11.25" customHeight="1">
      <c r="A685" s="2091" t="s">
        <v>2181</v>
      </c>
      <c r="B685" s="2091" t="s">
        <v>14</v>
      </c>
      <c r="C685" s="2091" t="s">
        <v>3528</v>
      </c>
      <c r="D685" s="2091" t="s">
        <v>3529</v>
      </c>
      <c r="E685" s="2091" t="s">
        <v>3530</v>
      </c>
      <c r="F685" s="2091" t="s">
        <v>2455</v>
      </c>
      <c r="G685" s="2091" t="s">
        <v>3531</v>
      </c>
      <c r="H685" s="2091" t="s">
        <v>24</v>
      </c>
      <c r="I685" s="2091" t="s">
        <v>752</v>
      </c>
    </row>
    <row r="686" spans="1:9" ht="11.25" customHeight="1">
      <c r="A686" s="2091" t="s">
        <v>2181</v>
      </c>
      <c r="B686" s="2091" t="s">
        <v>14</v>
      </c>
      <c r="C686" s="2091" t="s">
        <v>3532</v>
      </c>
      <c r="D686" s="2091" t="s">
        <v>3533</v>
      </c>
      <c r="E686" s="2091" t="s">
        <v>3534</v>
      </c>
      <c r="F686" s="2091" t="s">
        <v>2218</v>
      </c>
      <c r="G686" s="2091" t="s">
        <v>24</v>
      </c>
      <c r="H686" s="2091" t="s">
        <v>24</v>
      </c>
      <c r="I686" s="2091" t="s">
        <v>752</v>
      </c>
    </row>
    <row r="687" spans="1:9" ht="11.25" customHeight="1">
      <c r="A687" s="2091" t="s">
        <v>2181</v>
      </c>
      <c r="B687" s="2091" t="s">
        <v>14</v>
      </c>
      <c r="C687" s="2091" t="s">
        <v>3535</v>
      </c>
      <c r="D687" s="2091" t="s">
        <v>3533</v>
      </c>
      <c r="E687" s="2091" t="s">
        <v>3536</v>
      </c>
      <c r="F687" s="2091" t="s">
        <v>2338</v>
      </c>
      <c r="G687" s="2091" t="s">
        <v>3537</v>
      </c>
      <c r="H687" s="2091" t="s">
        <v>24</v>
      </c>
      <c r="I687" s="2091" t="s">
        <v>752</v>
      </c>
    </row>
    <row r="688" spans="1:9" ht="11.25" customHeight="1">
      <c r="A688" s="2091" t="s">
        <v>2181</v>
      </c>
      <c r="B688" s="2091" t="s">
        <v>14</v>
      </c>
      <c r="C688" s="2091" t="s">
        <v>3538</v>
      </c>
      <c r="D688" s="2091" t="s">
        <v>3539</v>
      </c>
      <c r="E688" s="2091" t="s">
        <v>3540</v>
      </c>
      <c r="F688" s="2091" t="s">
        <v>2535</v>
      </c>
      <c r="G688" s="2091" t="s">
        <v>24</v>
      </c>
      <c r="H688" s="2091" t="s">
        <v>24</v>
      </c>
      <c r="I688" s="2091" t="s">
        <v>752</v>
      </c>
    </row>
    <row r="689" spans="1:9" ht="11.25" customHeight="1">
      <c r="A689" s="2091" t="s">
        <v>2181</v>
      </c>
      <c r="B689" s="2091" t="s">
        <v>14</v>
      </c>
      <c r="C689" s="2091" t="s">
        <v>3541</v>
      </c>
      <c r="D689" s="2091" t="s">
        <v>3542</v>
      </c>
      <c r="E689" s="2091" t="s">
        <v>3543</v>
      </c>
      <c r="F689" s="2091" t="s">
        <v>2317</v>
      </c>
      <c r="G689" s="2091" t="s">
        <v>3544</v>
      </c>
      <c r="H689" s="2091" t="s">
        <v>24</v>
      </c>
      <c r="I689" s="2091" t="s">
        <v>752</v>
      </c>
    </row>
    <row r="690" spans="1:9" ht="11.25" customHeight="1">
      <c r="A690" s="2091" t="s">
        <v>2181</v>
      </c>
      <c r="B690" s="2091" t="s">
        <v>14</v>
      </c>
      <c r="C690" s="2091" t="s">
        <v>3545</v>
      </c>
      <c r="D690" s="2091" t="s">
        <v>3546</v>
      </c>
      <c r="E690" s="2091" t="s">
        <v>3547</v>
      </c>
      <c r="F690" s="2091" t="s">
        <v>2198</v>
      </c>
      <c r="G690" s="2091" t="s">
        <v>24</v>
      </c>
      <c r="H690" s="2091" t="s">
        <v>24</v>
      </c>
      <c r="I690" s="2091" t="s">
        <v>752</v>
      </c>
    </row>
    <row r="691" spans="1:9" ht="11.25" customHeight="1">
      <c r="A691" s="2091" t="s">
        <v>2181</v>
      </c>
      <c r="B691" s="2091" t="s">
        <v>14</v>
      </c>
      <c r="C691" s="2091" t="s">
        <v>3548</v>
      </c>
      <c r="D691" s="2091" t="s">
        <v>3549</v>
      </c>
      <c r="E691" s="2091" t="s">
        <v>3550</v>
      </c>
      <c r="F691" s="2091" t="s">
        <v>2334</v>
      </c>
      <c r="G691" s="2091" t="s">
        <v>24</v>
      </c>
      <c r="H691" s="2091" t="s">
        <v>24</v>
      </c>
      <c r="I691" s="2091" t="s">
        <v>752</v>
      </c>
    </row>
    <row r="692" spans="1:9" ht="11.25" customHeight="1">
      <c r="A692" s="2091" t="s">
        <v>2181</v>
      </c>
      <c r="B692" s="2091" t="s">
        <v>14</v>
      </c>
      <c r="C692" s="2091" t="s">
        <v>2729</v>
      </c>
      <c r="D692" s="2091" t="s">
        <v>2730</v>
      </c>
      <c r="E692" s="2091" t="s">
        <v>2731</v>
      </c>
      <c r="F692" s="2091" t="s">
        <v>2185</v>
      </c>
      <c r="G692" s="2091" t="s">
        <v>24</v>
      </c>
      <c r="H692" s="2091" t="s">
        <v>24</v>
      </c>
      <c r="I692" s="2091" t="s">
        <v>752</v>
      </c>
    </row>
    <row r="693" spans="1:9" ht="11.25" customHeight="1">
      <c r="A693" s="2091" t="s">
        <v>2181</v>
      </c>
      <c r="B693" s="2091" t="s">
        <v>14</v>
      </c>
      <c r="C693" s="2091" t="s">
        <v>2738</v>
      </c>
      <c r="D693" s="2091" t="s">
        <v>2739</v>
      </c>
      <c r="E693" s="2091" t="s">
        <v>2740</v>
      </c>
      <c r="F693" s="2091" t="s">
        <v>2535</v>
      </c>
      <c r="G693" s="2091" t="s">
        <v>24</v>
      </c>
      <c r="H693" s="2091" t="s">
        <v>24</v>
      </c>
      <c r="I693" s="2091" t="s">
        <v>752</v>
      </c>
    </row>
    <row r="694" spans="1:9" ht="11.25" customHeight="1">
      <c r="A694" s="2091" t="s">
        <v>2181</v>
      </c>
      <c r="B694" s="2091" t="s">
        <v>14</v>
      </c>
      <c r="C694" s="2091" t="s">
        <v>2741</v>
      </c>
      <c r="D694" s="2091" t="s">
        <v>2742</v>
      </c>
      <c r="E694" s="2091" t="s">
        <v>2743</v>
      </c>
      <c r="F694" s="2091" t="s">
        <v>2468</v>
      </c>
      <c r="G694" s="2091" t="s">
        <v>24</v>
      </c>
      <c r="H694" s="2091" t="s">
        <v>24</v>
      </c>
      <c r="I694" s="2091" t="s">
        <v>752</v>
      </c>
    </row>
    <row r="695" spans="1:9" ht="11.25" customHeight="1">
      <c r="A695" s="2091" t="s">
        <v>2181</v>
      </c>
      <c r="B695" s="2091" t="s">
        <v>14</v>
      </c>
      <c r="C695" s="2091" t="s">
        <v>3551</v>
      </c>
      <c r="D695" s="2091" t="s">
        <v>3552</v>
      </c>
      <c r="E695" s="2091" t="s">
        <v>3553</v>
      </c>
      <c r="F695" s="2091" t="s">
        <v>2383</v>
      </c>
      <c r="G695" s="2091" t="s">
        <v>2900</v>
      </c>
      <c r="H695" s="2091" t="s">
        <v>3277</v>
      </c>
      <c r="I695" s="2091" t="s">
        <v>752</v>
      </c>
    </row>
    <row r="696" spans="1:9" ht="11.25" customHeight="1">
      <c r="A696" s="2091" t="s">
        <v>2181</v>
      </c>
      <c r="B696" s="2091" t="s">
        <v>14</v>
      </c>
      <c r="C696" s="2091" t="s">
        <v>3554</v>
      </c>
      <c r="D696" s="2091" t="s">
        <v>3555</v>
      </c>
      <c r="E696" s="2091" t="s">
        <v>3556</v>
      </c>
      <c r="F696" s="2091" t="s">
        <v>2334</v>
      </c>
      <c r="G696" s="2091" t="s">
        <v>24</v>
      </c>
      <c r="H696" s="2091" t="s">
        <v>24</v>
      </c>
      <c r="I696" s="2091" t="s">
        <v>752</v>
      </c>
    </row>
    <row r="697" spans="1:9" ht="11.25" customHeight="1">
      <c r="A697" s="2091" t="s">
        <v>2181</v>
      </c>
      <c r="B697" s="2091" t="s">
        <v>14</v>
      </c>
      <c r="C697" s="2091" t="s">
        <v>2744</v>
      </c>
      <c r="D697" s="2091" t="s">
        <v>2745</v>
      </c>
      <c r="E697" s="2091" t="s">
        <v>2746</v>
      </c>
      <c r="F697" s="2091" t="s">
        <v>2226</v>
      </c>
      <c r="G697" s="2091" t="s">
        <v>24</v>
      </c>
      <c r="H697" s="2091" t="s">
        <v>24</v>
      </c>
      <c r="I697" s="2091" t="s">
        <v>752</v>
      </c>
    </row>
    <row r="698" spans="1:9" ht="11.25" customHeight="1">
      <c r="A698" s="2091" t="s">
        <v>2181</v>
      </c>
      <c r="B698" s="2091" t="s">
        <v>14</v>
      </c>
      <c r="C698" s="2091" t="s">
        <v>3557</v>
      </c>
      <c r="D698" s="2091" t="s">
        <v>3558</v>
      </c>
      <c r="E698" s="2091" t="s">
        <v>3559</v>
      </c>
      <c r="F698" s="2091" t="s">
        <v>2242</v>
      </c>
      <c r="G698" s="2091" t="s">
        <v>24</v>
      </c>
      <c r="H698" s="2091" t="s">
        <v>24</v>
      </c>
      <c r="I698" s="2091" t="s">
        <v>752</v>
      </c>
    </row>
    <row r="699" spans="1:9" ht="11.25" customHeight="1">
      <c r="A699" s="2091" t="s">
        <v>2181</v>
      </c>
      <c r="B699" s="2091" t="s">
        <v>14</v>
      </c>
      <c r="C699" s="2091" t="s">
        <v>2747</v>
      </c>
      <c r="D699" s="2091" t="s">
        <v>2748</v>
      </c>
      <c r="E699" s="2091" t="s">
        <v>2749</v>
      </c>
      <c r="F699" s="2091" t="s">
        <v>2242</v>
      </c>
      <c r="G699" s="2091" t="s">
        <v>24</v>
      </c>
      <c r="H699" s="2091" t="s">
        <v>24</v>
      </c>
      <c r="I699" s="2091" t="s">
        <v>752</v>
      </c>
    </row>
    <row r="700" spans="1:9" ht="11.25" customHeight="1">
      <c r="A700" s="2091" t="s">
        <v>2181</v>
      </c>
      <c r="B700" s="2091" t="s">
        <v>14</v>
      </c>
      <c r="C700" s="2091" t="s">
        <v>3560</v>
      </c>
      <c r="D700" s="2091" t="s">
        <v>3561</v>
      </c>
      <c r="E700" s="2091" t="s">
        <v>3562</v>
      </c>
      <c r="F700" s="2091" t="s">
        <v>2718</v>
      </c>
      <c r="G700" s="2091" t="s">
        <v>24</v>
      </c>
      <c r="H700" s="2091" t="s">
        <v>24</v>
      </c>
      <c r="I700" s="2091" t="s">
        <v>752</v>
      </c>
    </row>
    <row r="701" spans="1:9" ht="11.25" customHeight="1">
      <c r="A701" s="2091" t="s">
        <v>2181</v>
      </c>
      <c r="B701" s="2091" t="s">
        <v>14</v>
      </c>
      <c r="C701" s="2091" t="s">
        <v>2753</v>
      </c>
      <c r="D701" s="2091" t="s">
        <v>2754</v>
      </c>
      <c r="E701" s="2091" t="s">
        <v>2755</v>
      </c>
      <c r="F701" s="2091" t="s">
        <v>2317</v>
      </c>
      <c r="G701" s="2091" t="s">
        <v>2756</v>
      </c>
      <c r="H701" s="2091" t="s">
        <v>2757</v>
      </c>
      <c r="I701" s="2091" t="s">
        <v>752</v>
      </c>
    </row>
    <row r="702" spans="1:9" ht="11.25" customHeight="1">
      <c r="A702" s="2091" t="s">
        <v>2181</v>
      </c>
      <c r="B702" s="2091" t="s">
        <v>14</v>
      </c>
      <c r="C702" s="2091" t="s">
        <v>2764</v>
      </c>
      <c r="D702" s="2091" t="s">
        <v>2765</v>
      </c>
      <c r="E702" s="2091" t="s">
        <v>2766</v>
      </c>
      <c r="F702" s="2091" t="s">
        <v>2250</v>
      </c>
      <c r="G702" s="2091" t="s">
        <v>24</v>
      </c>
      <c r="H702" s="2091" t="s">
        <v>24</v>
      </c>
      <c r="I702" s="2091" t="s">
        <v>752</v>
      </c>
    </row>
    <row r="703" spans="1:9" ht="11.25" customHeight="1">
      <c r="A703" s="2091" t="s">
        <v>2181</v>
      </c>
      <c r="B703" s="2091" t="s">
        <v>14</v>
      </c>
      <c r="C703" s="2091" t="s">
        <v>2767</v>
      </c>
      <c r="D703" s="2091" t="s">
        <v>2768</v>
      </c>
      <c r="E703" s="2091" t="s">
        <v>2769</v>
      </c>
      <c r="F703" s="2091" t="s">
        <v>2218</v>
      </c>
      <c r="G703" s="2091" t="s">
        <v>24</v>
      </c>
      <c r="H703" s="2091" t="s">
        <v>24</v>
      </c>
      <c r="I703" s="2091" t="s">
        <v>752</v>
      </c>
    </row>
    <row r="704" spans="1:9" ht="11.25" customHeight="1">
      <c r="A704" s="2091" t="s">
        <v>2181</v>
      </c>
      <c r="B704" s="2091" t="s">
        <v>14</v>
      </c>
      <c r="C704" s="2091" t="s">
        <v>2770</v>
      </c>
      <c r="D704" s="2091" t="s">
        <v>2771</v>
      </c>
      <c r="E704" s="2091" t="s">
        <v>2772</v>
      </c>
      <c r="F704" s="2091" t="s">
        <v>2329</v>
      </c>
      <c r="G704" s="2091" t="s">
        <v>24</v>
      </c>
      <c r="H704" s="2091" t="s">
        <v>24</v>
      </c>
      <c r="I704" s="2091" t="s">
        <v>752</v>
      </c>
    </row>
    <row r="705" spans="1:9" ht="11.25" customHeight="1">
      <c r="A705" s="2091" t="s">
        <v>2181</v>
      </c>
      <c r="B705" s="2091" t="s">
        <v>14</v>
      </c>
      <c r="C705" s="2091" t="s">
        <v>2773</v>
      </c>
      <c r="D705" s="2091" t="s">
        <v>2774</v>
      </c>
      <c r="E705" s="2091" t="s">
        <v>2775</v>
      </c>
      <c r="F705" s="2091" t="s">
        <v>2317</v>
      </c>
      <c r="G705" s="2091" t="s">
        <v>24</v>
      </c>
      <c r="H705" s="2091" t="s">
        <v>24</v>
      </c>
      <c r="I705" s="2091" t="s">
        <v>752</v>
      </c>
    </row>
    <row r="706" spans="1:9" ht="11.25" customHeight="1">
      <c r="A706" s="2091" t="s">
        <v>2181</v>
      </c>
      <c r="B706" s="2091" t="s">
        <v>14</v>
      </c>
      <c r="C706" s="2091" t="s">
        <v>3563</v>
      </c>
      <c r="D706" s="2091" t="s">
        <v>3362</v>
      </c>
      <c r="E706" s="2091" t="s">
        <v>3564</v>
      </c>
      <c r="F706" s="2091" t="s">
        <v>3355</v>
      </c>
      <c r="G706" s="2091" t="s">
        <v>24</v>
      </c>
      <c r="H706" s="2091" t="s">
        <v>3565</v>
      </c>
      <c r="I706" s="2091" t="s">
        <v>752</v>
      </c>
    </row>
    <row r="707" spans="1:9" ht="11.25" customHeight="1">
      <c r="A707" s="2091" t="s">
        <v>2181</v>
      </c>
      <c r="B707" s="2091" t="s">
        <v>14</v>
      </c>
      <c r="C707" s="2091" t="s">
        <v>3361</v>
      </c>
      <c r="D707" s="2091" t="s">
        <v>3362</v>
      </c>
      <c r="E707" s="2091" t="s">
        <v>3363</v>
      </c>
      <c r="F707" s="2091" t="s">
        <v>2273</v>
      </c>
      <c r="G707" s="2091" t="s">
        <v>3364</v>
      </c>
      <c r="H707" s="2091" t="s">
        <v>24</v>
      </c>
      <c r="I707" s="2091" t="s">
        <v>752</v>
      </c>
    </row>
    <row r="708" spans="1:9" ht="11.25" customHeight="1">
      <c r="A708" s="2091" t="s">
        <v>2181</v>
      </c>
      <c r="B708" s="2091" t="s">
        <v>14</v>
      </c>
      <c r="C708" s="2091" t="s">
        <v>3566</v>
      </c>
      <c r="D708" s="2091" t="s">
        <v>3362</v>
      </c>
      <c r="E708" s="2091" t="s">
        <v>3567</v>
      </c>
      <c r="F708" s="2091" t="s">
        <v>2361</v>
      </c>
      <c r="G708" s="2091" t="s">
        <v>3568</v>
      </c>
      <c r="H708" s="2091" t="s">
        <v>24</v>
      </c>
      <c r="I708" s="2091" t="s">
        <v>752</v>
      </c>
    </row>
    <row r="709" spans="1:9" ht="11.25" customHeight="1">
      <c r="A709" s="2091" t="s">
        <v>2181</v>
      </c>
      <c r="B709" s="2091" t="s">
        <v>14</v>
      </c>
      <c r="C709" s="2091" t="s">
        <v>3365</v>
      </c>
      <c r="D709" s="2091" t="s">
        <v>3366</v>
      </c>
      <c r="E709" s="2091" t="s">
        <v>3367</v>
      </c>
      <c r="F709" s="2091" t="s">
        <v>3355</v>
      </c>
      <c r="G709" s="2091" t="s">
        <v>24</v>
      </c>
      <c r="H709" s="2091" t="s">
        <v>24</v>
      </c>
      <c r="I709" s="2091" t="s">
        <v>752</v>
      </c>
    </row>
    <row r="710" spans="1:9" ht="11.25" customHeight="1">
      <c r="A710" s="2091" t="s">
        <v>2181</v>
      </c>
      <c r="B710" s="2091" t="s">
        <v>14</v>
      </c>
      <c r="C710" s="2091" t="s">
        <v>2776</v>
      </c>
      <c r="D710" s="2091" t="s">
        <v>2777</v>
      </c>
      <c r="E710" s="2091" t="s">
        <v>2778</v>
      </c>
      <c r="F710" s="2091" t="s">
        <v>2317</v>
      </c>
      <c r="G710" s="2091" t="s">
        <v>24</v>
      </c>
      <c r="H710" s="2091" t="s">
        <v>24</v>
      </c>
      <c r="I710" s="2091" t="s">
        <v>752</v>
      </c>
    </row>
    <row r="711" spans="1:9" ht="11.25" customHeight="1">
      <c r="A711" s="2091" t="s">
        <v>2181</v>
      </c>
      <c r="B711" s="2091" t="s">
        <v>14</v>
      </c>
      <c r="C711" s="2091" t="s">
        <v>2779</v>
      </c>
      <c r="D711" s="2091" t="s">
        <v>2780</v>
      </c>
      <c r="E711" s="2091" t="s">
        <v>2781</v>
      </c>
      <c r="F711" s="2091" t="s">
        <v>2782</v>
      </c>
      <c r="G711" s="2091" t="s">
        <v>2783</v>
      </c>
      <c r="H711" s="2091" t="s">
        <v>24</v>
      </c>
      <c r="I711" s="2091" t="s">
        <v>752</v>
      </c>
    </row>
    <row r="712" spans="1:9" ht="11.25" customHeight="1">
      <c r="A712" s="2091" t="s">
        <v>2181</v>
      </c>
      <c r="B712" s="2091" t="s">
        <v>14</v>
      </c>
      <c r="C712" s="2091" t="s">
        <v>2784</v>
      </c>
      <c r="D712" s="2091" t="s">
        <v>2785</v>
      </c>
      <c r="E712" s="2091" t="s">
        <v>2786</v>
      </c>
      <c r="F712" s="2091" t="s">
        <v>2255</v>
      </c>
      <c r="G712" s="2091" t="s">
        <v>2787</v>
      </c>
      <c r="H712" s="2091" t="s">
        <v>24</v>
      </c>
      <c r="I712" s="2091" t="s">
        <v>752</v>
      </c>
    </row>
    <row r="713" spans="1:9" ht="11.25" customHeight="1">
      <c r="A713" s="2091" t="s">
        <v>2181</v>
      </c>
      <c r="B713" s="2091" t="s">
        <v>14</v>
      </c>
      <c r="C713" s="2091" t="s">
        <v>2788</v>
      </c>
      <c r="D713" s="2091" t="s">
        <v>2789</v>
      </c>
      <c r="E713" s="2091" t="s">
        <v>2790</v>
      </c>
      <c r="F713" s="2091" t="s">
        <v>2424</v>
      </c>
      <c r="G713" s="2091" t="s">
        <v>2791</v>
      </c>
      <c r="H713" s="2091" t="s">
        <v>24</v>
      </c>
      <c r="I713" s="2091" t="s">
        <v>752</v>
      </c>
    </row>
    <row r="714" spans="1:9" ht="11.25" customHeight="1">
      <c r="A714" s="2091" t="s">
        <v>2181</v>
      </c>
      <c r="B714" s="2091" t="s">
        <v>14</v>
      </c>
      <c r="C714" s="2091" t="s">
        <v>2795</v>
      </c>
      <c r="D714" s="2091" t="s">
        <v>2796</v>
      </c>
      <c r="E714" s="2091" t="s">
        <v>2797</v>
      </c>
      <c r="F714" s="2091" t="s">
        <v>2683</v>
      </c>
      <c r="G714" s="2091" t="s">
        <v>2798</v>
      </c>
      <c r="H714" s="2091" t="s">
        <v>2799</v>
      </c>
      <c r="I714" s="2091" t="s">
        <v>752</v>
      </c>
    </row>
    <row r="715" spans="1:9" ht="11.25" customHeight="1">
      <c r="A715" s="2091" t="s">
        <v>2181</v>
      </c>
      <c r="B715" s="2091" t="s">
        <v>14</v>
      </c>
      <c r="C715" s="2091" t="s">
        <v>3569</v>
      </c>
      <c r="D715" s="2091" t="s">
        <v>3570</v>
      </c>
      <c r="E715" s="2091" t="s">
        <v>3571</v>
      </c>
      <c r="F715" s="2091" t="s">
        <v>2578</v>
      </c>
      <c r="G715" s="2091" t="s">
        <v>24</v>
      </c>
      <c r="H715" s="2091" t="s">
        <v>24</v>
      </c>
      <c r="I715" s="2091" t="s">
        <v>752</v>
      </c>
    </row>
    <row r="716" spans="1:9" ht="11.25" customHeight="1">
      <c r="A716" s="2091" t="s">
        <v>2181</v>
      </c>
      <c r="B716" s="2091" t="s">
        <v>14</v>
      </c>
      <c r="C716" s="2091" t="s">
        <v>3572</v>
      </c>
      <c r="D716" s="2091" t="s">
        <v>3573</v>
      </c>
      <c r="E716" s="2091" t="s">
        <v>3574</v>
      </c>
      <c r="F716" s="2091" t="s">
        <v>2383</v>
      </c>
      <c r="G716" s="2091" t="s">
        <v>24</v>
      </c>
      <c r="H716" s="2091" t="s">
        <v>24</v>
      </c>
      <c r="I716" s="2091" t="s">
        <v>752</v>
      </c>
    </row>
    <row r="717" spans="1:9" ht="11.25" customHeight="1">
      <c r="A717" s="2091" t="s">
        <v>2181</v>
      </c>
      <c r="B717" s="2091" t="s">
        <v>14</v>
      </c>
      <c r="C717" s="2091" t="s">
        <v>2803</v>
      </c>
      <c r="D717" s="2091" t="s">
        <v>2804</v>
      </c>
      <c r="E717" s="2091" t="s">
        <v>2805</v>
      </c>
      <c r="F717" s="2091" t="s">
        <v>2405</v>
      </c>
      <c r="G717" s="2091" t="s">
        <v>24</v>
      </c>
      <c r="H717" s="2091" t="s">
        <v>24</v>
      </c>
      <c r="I717" s="2091" t="s">
        <v>752</v>
      </c>
    </row>
    <row r="718" spans="1:9" ht="11.25" customHeight="1">
      <c r="A718" s="2091" t="s">
        <v>2181</v>
      </c>
      <c r="B718" s="2091" t="s">
        <v>14</v>
      </c>
      <c r="C718" s="2091" t="s">
        <v>3575</v>
      </c>
      <c r="D718" s="2091" t="s">
        <v>3576</v>
      </c>
      <c r="E718" s="2091" t="s">
        <v>3577</v>
      </c>
      <c r="F718" s="2091" t="s">
        <v>2833</v>
      </c>
      <c r="G718" s="2091" t="s">
        <v>24</v>
      </c>
      <c r="H718" s="2091" t="s">
        <v>3084</v>
      </c>
      <c r="I718" s="2091" t="s">
        <v>752</v>
      </c>
    </row>
    <row r="719" spans="1:9" ht="11.25" customHeight="1">
      <c r="A719" s="2091" t="s">
        <v>2181</v>
      </c>
      <c r="B719" s="2091" t="s">
        <v>14</v>
      </c>
      <c r="C719" s="2091" t="s">
        <v>3578</v>
      </c>
      <c r="D719" s="2091" t="s">
        <v>3579</v>
      </c>
      <c r="E719" s="2091" t="s">
        <v>3580</v>
      </c>
      <c r="F719" s="2091" t="s">
        <v>2361</v>
      </c>
      <c r="G719" s="2091" t="s">
        <v>24</v>
      </c>
      <c r="H719" s="2091" t="s">
        <v>24</v>
      </c>
      <c r="I719" s="2091" t="s">
        <v>752</v>
      </c>
    </row>
    <row r="720" spans="1:9" ht="11.25" customHeight="1">
      <c r="A720" s="2091" t="s">
        <v>2181</v>
      </c>
      <c r="B720" s="2091" t="s">
        <v>14</v>
      </c>
      <c r="C720" s="2091" t="s">
        <v>2806</v>
      </c>
      <c r="D720" s="2091" t="s">
        <v>2807</v>
      </c>
      <c r="E720" s="2091" t="s">
        <v>2808</v>
      </c>
      <c r="F720" s="2091" t="s">
        <v>2185</v>
      </c>
      <c r="G720" s="2091" t="s">
        <v>2809</v>
      </c>
      <c r="H720" s="2091" t="s">
        <v>24</v>
      </c>
      <c r="I720" s="2091" t="s">
        <v>752</v>
      </c>
    </row>
    <row r="721" spans="1:9" ht="11.25" customHeight="1">
      <c r="A721" s="2091" t="s">
        <v>2181</v>
      </c>
      <c r="B721" s="2091" t="s">
        <v>14</v>
      </c>
      <c r="C721" s="2091" t="s">
        <v>2810</v>
      </c>
      <c r="D721" s="2091" t="s">
        <v>2811</v>
      </c>
      <c r="E721" s="2091" t="s">
        <v>2812</v>
      </c>
      <c r="F721" s="2091" t="s">
        <v>2383</v>
      </c>
      <c r="G721" s="2091" t="s">
        <v>24</v>
      </c>
      <c r="H721" s="2091" t="s">
        <v>24</v>
      </c>
      <c r="I721" s="2091" t="s">
        <v>752</v>
      </c>
    </row>
    <row r="722" spans="1:9" ht="11.25" customHeight="1">
      <c r="A722" s="2091" t="s">
        <v>2181</v>
      </c>
      <c r="B722" s="2091" t="s">
        <v>14</v>
      </c>
      <c r="C722" s="2091" t="s">
        <v>2813</v>
      </c>
      <c r="D722" s="2091" t="s">
        <v>2814</v>
      </c>
      <c r="E722" s="2091" t="s">
        <v>2815</v>
      </c>
      <c r="F722" s="2091" t="s">
        <v>2816</v>
      </c>
      <c r="G722" s="2091" t="s">
        <v>2817</v>
      </c>
      <c r="H722" s="2091" t="s">
        <v>24</v>
      </c>
      <c r="I722" s="2091" t="s">
        <v>752</v>
      </c>
    </row>
    <row r="723" spans="1:9" ht="11.25" customHeight="1">
      <c r="A723" s="2091" t="s">
        <v>2181</v>
      </c>
      <c r="B723" s="2091" t="s">
        <v>14</v>
      </c>
      <c r="C723" s="2091" t="s">
        <v>2821</v>
      </c>
      <c r="D723" s="2091" t="s">
        <v>2822</v>
      </c>
      <c r="E723" s="2091" t="s">
        <v>2823</v>
      </c>
      <c r="F723" s="2091" t="s">
        <v>2451</v>
      </c>
      <c r="G723" s="2091" t="s">
        <v>2824</v>
      </c>
      <c r="H723" s="2091" t="s">
        <v>24</v>
      </c>
      <c r="I723" s="2091" t="s">
        <v>752</v>
      </c>
    </row>
    <row r="724" spans="1:9" ht="11.25" customHeight="1">
      <c r="A724" s="2091" t="s">
        <v>2181</v>
      </c>
      <c r="B724" s="2091" t="s">
        <v>14</v>
      </c>
      <c r="C724" s="2091" t="s">
        <v>2825</v>
      </c>
      <c r="D724" s="2091" t="s">
        <v>2826</v>
      </c>
      <c r="E724" s="2091" t="s">
        <v>2827</v>
      </c>
      <c r="F724" s="2091" t="s">
        <v>2828</v>
      </c>
      <c r="G724" s="2091" t="s">
        <v>2829</v>
      </c>
      <c r="H724" s="2091" t="s">
        <v>24</v>
      </c>
      <c r="I724" s="2091" t="s">
        <v>752</v>
      </c>
    </row>
    <row r="725" spans="1:9" ht="11.25" customHeight="1">
      <c r="A725" s="2091" t="s">
        <v>2181</v>
      </c>
      <c r="B725" s="2091" t="s">
        <v>14</v>
      </c>
      <c r="C725" s="2091" t="s">
        <v>3581</v>
      </c>
      <c r="D725" s="2091" t="s">
        <v>3582</v>
      </c>
      <c r="E725" s="2091" t="s">
        <v>3583</v>
      </c>
      <c r="F725" s="2091" t="s">
        <v>2317</v>
      </c>
      <c r="G725" s="2091" t="s">
        <v>24</v>
      </c>
      <c r="H725" s="2091" t="s">
        <v>24</v>
      </c>
      <c r="I725" s="2091" t="s">
        <v>752</v>
      </c>
    </row>
    <row r="726" spans="1:9" ht="11.25" customHeight="1">
      <c r="A726" s="2091" t="s">
        <v>2181</v>
      </c>
      <c r="B726" s="2091" t="s">
        <v>14</v>
      </c>
      <c r="C726" s="2091" t="s">
        <v>2830</v>
      </c>
      <c r="D726" s="2091" t="s">
        <v>2831</v>
      </c>
      <c r="E726" s="2091" t="s">
        <v>2832</v>
      </c>
      <c r="F726" s="2091" t="s">
        <v>2833</v>
      </c>
      <c r="G726" s="2091" t="s">
        <v>24</v>
      </c>
      <c r="H726" s="2091" t="s">
        <v>24</v>
      </c>
      <c r="I726" s="2091" t="s">
        <v>752</v>
      </c>
    </row>
    <row r="727" spans="1:9" ht="11.25" customHeight="1">
      <c r="A727" s="2091" t="s">
        <v>2181</v>
      </c>
      <c r="B727" s="2091" t="s">
        <v>14</v>
      </c>
      <c r="C727" s="2091" t="s">
        <v>3584</v>
      </c>
      <c r="D727" s="2091" t="s">
        <v>3585</v>
      </c>
      <c r="E727" s="2091" t="s">
        <v>3586</v>
      </c>
      <c r="F727" s="2091" t="s">
        <v>2226</v>
      </c>
      <c r="G727" s="2091" t="s">
        <v>24</v>
      </c>
      <c r="H727" s="2091" t="s">
        <v>24</v>
      </c>
      <c r="I727" s="2091" t="s">
        <v>752</v>
      </c>
    </row>
    <row r="728" spans="1:9" ht="11.25" customHeight="1">
      <c r="A728" s="2091" t="s">
        <v>2181</v>
      </c>
      <c r="B728" s="2091" t="s">
        <v>14</v>
      </c>
      <c r="C728" s="2091" t="s">
        <v>2834</v>
      </c>
      <c r="D728" s="2091" t="s">
        <v>2835</v>
      </c>
      <c r="E728" s="2091" t="s">
        <v>2836</v>
      </c>
      <c r="F728" s="2091" t="s">
        <v>2189</v>
      </c>
      <c r="G728" s="2091" t="s">
        <v>24</v>
      </c>
      <c r="H728" s="2091" t="s">
        <v>24</v>
      </c>
      <c r="I728" s="2091" t="s">
        <v>752</v>
      </c>
    </row>
    <row r="729" spans="1:9" ht="11.25" customHeight="1">
      <c r="A729" s="2091" t="s">
        <v>2181</v>
      </c>
      <c r="B729" s="2091" t="s">
        <v>14</v>
      </c>
      <c r="C729" s="2091" t="s">
        <v>2837</v>
      </c>
      <c r="D729" s="2091" t="s">
        <v>2838</v>
      </c>
      <c r="E729" s="2091" t="s">
        <v>2839</v>
      </c>
      <c r="F729" s="2091" t="s">
        <v>2512</v>
      </c>
      <c r="G729" s="2091" t="s">
        <v>2840</v>
      </c>
      <c r="H729" s="2091" t="s">
        <v>24</v>
      </c>
      <c r="I729" s="2091" t="s">
        <v>752</v>
      </c>
    </row>
    <row r="730" spans="1:9" ht="11.25" customHeight="1">
      <c r="A730" s="2091" t="s">
        <v>2181</v>
      </c>
      <c r="B730" s="2091" t="s">
        <v>14</v>
      </c>
      <c r="C730" s="2091" t="s">
        <v>2841</v>
      </c>
      <c r="D730" s="2091" t="s">
        <v>2842</v>
      </c>
      <c r="E730" s="2091" t="s">
        <v>2843</v>
      </c>
      <c r="F730" s="2091" t="s">
        <v>2317</v>
      </c>
      <c r="G730" s="2091" t="s">
        <v>2844</v>
      </c>
      <c r="H730" s="2091" t="s">
        <v>24</v>
      </c>
      <c r="I730" s="2091" t="s">
        <v>752</v>
      </c>
    </row>
    <row r="731" spans="1:9" ht="11.25" customHeight="1">
      <c r="A731" s="2091" t="s">
        <v>2181</v>
      </c>
      <c r="B731" s="2091" t="s">
        <v>14</v>
      </c>
      <c r="C731" s="2091" t="s">
        <v>2845</v>
      </c>
      <c r="D731" s="2091" t="s">
        <v>2846</v>
      </c>
      <c r="E731" s="2091" t="s">
        <v>2847</v>
      </c>
      <c r="F731" s="2091" t="s">
        <v>2848</v>
      </c>
      <c r="G731" s="2091" t="s">
        <v>24</v>
      </c>
      <c r="H731" s="2091" t="s">
        <v>24</v>
      </c>
      <c r="I731" s="2091" t="s">
        <v>752</v>
      </c>
    </row>
    <row r="732" spans="1:9" ht="11.25" customHeight="1">
      <c r="A732" s="2091" t="s">
        <v>2181</v>
      </c>
      <c r="B732" s="2091" t="s">
        <v>14</v>
      </c>
      <c r="C732" s="2091" t="s">
        <v>3368</v>
      </c>
      <c r="D732" s="2091" t="s">
        <v>3369</v>
      </c>
      <c r="E732" s="2091" t="s">
        <v>3370</v>
      </c>
      <c r="F732" s="2091" t="s">
        <v>2242</v>
      </c>
      <c r="G732" s="2091" t="s">
        <v>3371</v>
      </c>
      <c r="H732" s="2091" t="s">
        <v>3372</v>
      </c>
      <c r="I732" s="2091" t="s">
        <v>752</v>
      </c>
    </row>
    <row r="733" spans="1:9" ht="11.25" customHeight="1">
      <c r="A733" s="2091" t="s">
        <v>2181</v>
      </c>
      <c r="B733" s="2091" t="s">
        <v>14</v>
      </c>
      <c r="C733" s="2091" t="s">
        <v>2849</v>
      </c>
      <c r="D733" s="2091" t="s">
        <v>2850</v>
      </c>
      <c r="E733" s="2091" t="s">
        <v>2851</v>
      </c>
      <c r="F733" s="2091" t="s">
        <v>2852</v>
      </c>
      <c r="G733" s="2091" t="s">
        <v>2853</v>
      </c>
      <c r="H733" s="2091" t="s">
        <v>2854</v>
      </c>
      <c r="I733" s="2091" t="s">
        <v>752</v>
      </c>
    </row>
    <row r="734" spans="1:9" ht="11.25" customHeight="1">
      <c r="A734" s="2091" t="s">
        <v>2181</v>
      </c>
      <c r="B734" s="2091" t="s">
        <v>14</v>
      </c>
      <c r="C734" s="2091" t="s">
        <v>2858</v>
      </c>
      <c r="D734" s="2091" t="s">
        <v>2859</v>
      </c>
      <c r="E734" s="2091" t="s">
        <v>2860</v>
      </c>
      <c r="F734" s="2091" t="s">
        <v>2852</v>
      </c>
      <c r="G734" s="2091" t="s">
        <v>24</v>
      </c>
      <c r="H734" s="2091" t="s">
        <v>24</v>
      </c>
      <c r="I734" s="2091" t="s">
        <v>752</v>
      </c>
    </row>
    <row r="735" spans="1:9" ht="11.25" customHeight="1">
      <c r="A735" s="2091" t="s">
        <v>2181</v>
      </c>
      <c r="B735" s="2091" t="s">
        <v>14</v>
      </c>
      <c r="C735" s="2091" t="s">
        <v>2867</v>
      </c>
      <c r="D735" s="2091" t="s">
        <v>2868</v>
      </c>
      <c r="E735" s="2091" t="s">
        <v>2869</v>
      </c>
      <c r="F735" s="2091" t="s">
        <v>2334</v>
      </c>
      <c r="G735" s="2091" t="s">
        <v>2870</v>
      </c>
      <c r="H735" s="2091" t="s">
        <v>24</v>
      </c>
      <c r="I735" s="2091" t="s">
        <v>752</v>
      </c>
    </row>
    <row r="736" spans="1:9" ht="11.25" customHeight="1">
      <c r="A736" s="2091" t="s">
        <v>2181</v>
      </c>
      <c r="B736" s="2091" t="s">
        <v>14</v>
      </c>
      <c r="C736" s="2091" t="s">
        <v>2871</v>
      </c>
      <c r="D736" s="2091" t="s">
        <v>2872</v>
      </c>
      <c r="E736" s="2091" t="s">
        <v>2873</v>
      </c>
      <c r="F736" s="2091" t="s">
        <v>2185</v>
      </c>
      <c r="G736" s="2091" t="s">
        <v>24</v>
      </c>
      <c r="H736" s="2091" t="s">
        <v>24</v>
      </c>
      <c r="I736" s="2091" t="s">
        <v>752</v>
      </c>
    </row>
    <row r="737" spans="1:9" ht="11.25" customHeight="1">
      <c r="A737" s="2091" t="s">
        <v>2181</v>
      </c>
      <c r="B737" s="2091" t="s">
        <v>14</v>
      </c>
      <c r="C737" s="2091" t="s">
        <v>2874</v>
      </c>
      <c r="D737" s="2091" t="s">
        <v>2875</v>
      </c>
      <c r="E737" s="2091" t="s">
        <v>2876</v>
      </c>
      <c r="F737" s="2091" t="s">
        <v>2218</v>
      </c>
      <c r="G737" s="2091" t="s">
        <v>24</v>
      </c>
      <c r="H737" s="2091" t="s">
        <v>24</v>
      </c>
      <c r="I737" s="2091" t="s">
        <v>752</v>
      </c>
    </row>
    <row r="738" spans="1:9" ht="11.25" customHeight="1">
      <c r="A738" s="2091" t="s">
        <v>2181</v>
      </c>
      <c r="B738" s="2091" t="s">
        <v>14</v>
      </c>
      <c r="C738" s="2091" t="s">
        <v>2877</v>
      </c>
      <c r="D738" s="2091" t="s">
        <v>2878</v>
      </c>
      <c r="E738" s="2091" t="s">
        <v>2879</v>
      </c>
      <c r="F738" s="2091" t="s">
        <v>2880</v>
      </c>
      <c r="G738" s="2091" t="s">
        <v>24</v>
      </c>
      <c r="H738" s="2091" t="s">
        <v>24</v>
      </c>
      <c r="I738" s="2091" t="s">
        <v>752</v>
      </c>
    </row>
    <row r="739" spans="1:9" ht="11.25" customHeight="1">
      <c r="A739" s="2091" t="s">
        <v>2181</v>
      </c>
      <c r="B739" s="2091" t="s">
        <v>14</v>
      </c>
      <c r="C739" s="2091" t="s">
        <v>2881</v>
      </c>
      <c r="D739" s="2091" t="s">
        <v>2882</v>
      </c>
      <c r="E739" s="2091" t="s">
        <v>2883</v>
      </c>
      <c r="F739" s="2091" t="s">
        <v>2293</v>
      </c>
      <c r="G739" s="2091" t="s">
        <v>24</v>
      </c>
      <c r="H739" s="2091" t="s">
        <v>24</v>
      </c>
      <c r="I739" s="2091" t="s">
        <v>752</v>
      </c>
    </row>
    <row r="740" spans="1:9" ht="11.25" customHeight="1">
      <c r="A740" s="2091" t="s">
        <v>2181</v>
      </c>
      <c r="B740" s="2091" t="s">
        <v>14</v>
      </c>
      <c r="C740" s="2091" t="s">
        <v>2890</v>
      </c>
      <c r="D740" s="2091" t="s">
        <v>2891</v>
      </c>
      <c r="E740" s="2091" t="s">
        <v>2892</v>
      </c>
      <c r="F740" s="2091" t="s">
        <v>2424</v>
      </c>
      <c r="G740" s="2091" t="s">
        <v>24</v>
      </c>
      <c r="H740" s="2091" t="s">
        <v>2893</v>
      </c>
      <c r="I740" s="2091" t="s">
        <v>752</v>
      </c>
    </row>
    <row r="741" spans="1:9" ht="11.25" customHeight="1">
      <c r="A741" s="2091" t="s">
        <v>2181</v>
      </c>
      <c r="B741" s="2091" t="s">
        <v>14</v>
      </c>
      <c r="C741" s="2091" t="s">
        <v>2897</v>
      </c>
      <c r="D741" s="2091" t="s">
        <v>2898</v>
      </c>
      <c r="E741" s="2091" t="s">
        <v>2899</v>
      </c>
      <c r="F741" s="2091" t="s">
        <v>2218</v>
      </c>
      <c r="G741" s="2091" t="s">
        <v>2900</v>
      </c>
      <c r="H741" s="2091" t="s">
        <v>24</v>
      </c>
      <c r="I741" s="2091" t="s">
        <v>752</v>
      </c>
    </row>
    <row r="742" spans="1:9" ht="11.25" customHeight="1">
      <c r="A742" s="2091" t="s">
        <v>2181</v>
      </c>
      <c r="B742" s="2091" t="s">
        <v>14</v>
      </c>
      <c r="C742" s="2091" t="s">
        <v>3587</v>
      </c>
      <c r="D742" s="2091" t="s">
        <v>3588</v>
      </c>
      <c r="E742" s="2091" t="s">
        <v>3589</v>
      </c>
      <c r="F742" s="2091" t="s">
        <v>2218</v>
      </c>
      <c r="G742" s="2091" t="s">
        <v>24</v>
      </c>
      <c r="H742" s="2091" t="s">
        <v>24</v>
      </c>
      <c r="I742" s="2091" t="s">
        <v>752</v>
      </c>
    </row>
    <row r="743" spans="1:9" ht="11.25" customHeight="1">
      <c r="A743" s="2091" t="s">
        <v>2181</v>
      </c>
      <c r="B743" s="2091" t="s">
        <v>14</v>
      </c>
      <c r="C743" s="2091" t="s">
        <v>2910</v>
      </c>
      <c r="D743" s="2091" t="s">
        <v>2911</v>
      </c>
      <c r="E743" s="2091" t="s">
        <v>2912</v>
      </c>
      <c r="F743" s="2091" t="s">
        <v>2293</v>
      </c>
      <c r="G743" s="2091" t="s">
        <v>24</v>
      </c>
      <c r="H743" s="2091" t="s">
        <v>24</v>
      </c>
      <c r="I743" s="2091" t="s">
        <v>752</v>
      </c>
    </row>
    <row r="744" spans="1:9" ht="11.25" customHeight="1">
      <c r="A744" s="2091" t="s">
        <v>2181</v>
      </c>
      <c r="B744" s="2091" t="s">
        <v>14</v>
      </c>
      <c r="C744" s="2091" t="s">
        <v>2913</v>
      </c>
      <c r="D744" s="2091" t="s">
        <v>2914</v>
      </c>
      <c r="E744" s="2091" t="s">
        <v>2915</v>
      </c>
      <c r="F744" s="2091" t="s">
        <v>2679</v>
      </c>
      <c r="G744" s="2091" t="s">
        <v>24</v>
      </c>
      <c r="H744" s="2091" t="s">
        <v>24</v>
      </c>
      <c r="I744" s="2091" t="s">
        <v>752</v>
      </c>
    </row>
    <row r="745" spans="1:9" ht="11.25" customHeight="1">
      <c r="A745" s="2091" t="s">
        <v>2181</v>
      </c>
      <c r="B745" s="2091" t="s">
        <v>14</v>
      </c>
      <c r="C745" s="2091" t="s">
        <v>2919</v>
      </c>
      <c r="D745" s="2091" t="s">
        <v>2920</v>
      </c>
      <c r="E745" s="2091" t="s">
        <v>2921</v>
      </c>
      <c r="F745" s="2091" t="s">
        <v>2255</v>
      </c>
      <c r="G745" s="2091" t="s">
        <v>24</v>
      </c>
      <c r="H745" s="2091" t="s">
        <v>24</v>
      </c>
      <c r="I745" s="2091" t="s">
        <v>752</v>
      </c>
    </row>
    <row r="746" spans="1:9" ht="11.25" customHeight="1">
      <c r="A746" s="2091" t="s">
        <v>2181</v>
      </c>
      <c r="B746" s="2091" t="s">
        <v>14</v>
      </c>
      <c r="C746" s="2091" t="s">
        <v>2928</v>
      </c>
      <c r="D746" s="2091" t="s">
        <v>2929</v>
      </c>
      <c r="E746" s="2091" t="s">
        <v>2930</v>
      </c>
      <c r="F746" s="2091" t="s">
        <v>2255</v>
      </c>
      <c r="G746" s="2091" t="s">
        <v>2931</v>
      </c>
      <c r="H746" s="2091" t="s">
        <v>24</v>
      </c>
      <c r="I746" s="2091" t="s">
        <v>752</v>
      </c>
    </row>
    <row r="747" spans="1:9" ht="11.25" customHeight="1">
      <c r="A747" s="2091" t="s">
        <v>2181</v>
      </c>
      <c r="B747" s="2091" t="s">
        <v>14</v>
      </c>
      <c r="C747" s="2091" t="s">
        <v>3590</v>
      </c>
      <c r="D747" s="2091" t="s">
        <v>3591</v>
      </c>
      <c r="E747" s="2091" t="s">
        <v>3592</v>
      </c>
      <c r="F747" s="2091" t="s">
        <v>3593</v>
      </c>
      <c r="G747" s="2091" t="s">
        <v>24</v>
      </c>
      <c r="H747" s="2091" t="s">
        <v>24</v>
      </c>
      <c r="I747" s="2091" t="s">
        <v>752</v>
      </c>
    </row>
    <row r="748" spans="1:9" ht="11.25" customHeight="1">
      <c r="A748" s="2091" t="s">
        <v>2181</v>
      </c>
      <c r="B748" s="2091" t="s">
        <v>14</v>
      </c>
      <c r="C748" s="2091" t="s">
        <v>2932</v>
      </c>
      <c r="D748" s="2091" t="s">
        <v>2933</v>
      </c>
      <c r="E748" s="2091" t="s">
        <v>2934</v>
      </c>
      <c r="F748" s="2091" t="s">
        <v>2679</v>
      </c>
      <c r="G748" s="2091" t="s">
        <v>24</v>
      </c>
      <c r="H748" s="2091" t="s">
        <v>24</v>
      </c>
      <c r="I748" s="2091" t="s">
        <v>752</v>
      </c>
    </row>
    <row r="749" spans="1:9" ht="11.25" customHeight="1">
      <c r="A749" s="2091" t="s">
        <v>2181</v>
      </c>
      <c r="B749" s="2091" t="s">
        <v>14</v>
      </c>
      <c r="C749" s="2091" t="s">
        <v>2941</v>
      </c>
      <c r="D749" s="2091" t="s">
        <v>2942</v>
      </c>
      <c r="E749" s="2091" t="s">
        <v>2943</v>
      </c>
      <c r="F749" s="2091" t="s">
        <v>2278</v>
      </c>
      <c r="G749" s="2091" t="s">
        <v>24</v>
      </c>
      <c r="H749" s="2091" t="s">
        <v>24</v>
      </c>
      <c r="I749" s="2091" t="s">
        <v>752</v>
      </c>
    </row>
    <row r="750" spans="1:9" ht="11.25" customHeight="1">
      <c r="A750" s="2091" t="s">
        <v>2181</v>
      </c>
      <c r="B750" s="2091" t="s">
        <v>14</v>
      </c>
      <c r="C750" s="2091" t="s">
        <v>2944</v>
      </c>
      <c r="D750" s="2091" t="s">
        <v>2945</v>
      </c>
      <c r="E750" s="2091" t="s">
        <v>2946</v>
      </c>
      <c r="F750" s="2091" t="s">
        <v>2198</v>
      </c>
      <c r="G750" s="2091" t="s">
        <v>24</v>
      </c>
      <c r="H750" s="2091" t="s">
        <v>24</v>
      </c>
      <c r="I750" s="2091" t="s">
        <v>752</v>
      </c>
    </row>
    <row r="751" spans="1:9" ht="11.25" customHeight="1">
      <c r="A751" s="2091" t="s">
        <v>2181</v>
      </c>
      <c r="B751" s="2091" t="s">
        <v>14</v>
      </c>
      <c r="C751" s="2091" t="s">
        <v>3594</v>
      </c>
      <c r="D751" s="2091" t="s">
        <v>3595</v>
      </c>
      <c r="E751" s="2091" t="s">
        <v>3596</v>
      </c>
      <c r="F751" s="2091" t="s">
        <v>2535</v>
      </c>
      <c r="G751" s="2091" t="s">
        <v>3597</v>
      </c>
      <c r="H751" s="2091" t="s">
        <v>24</v>
      </c>
      <c r="I751" s="2091" t="s">
        <v>752</v>
      </c>
    </row>
    <row r="752" spans="1:9" ht="11.25" customHeight="1">
      <c r="A752" s="2091" t="s">
        <v>2181</v>
      </c>
      <c r="B752" s="2091" t="s">
        <v>14</v>
      </c>
      <c r="C752" s="2091" t="s">
        <v>2947</v>
      </c>
      <c r="D752" s="2091" t="s">
        <v>2948</v>
      </c>
      <c r="E752" s="2091" t="s">
        <v>2949</v>
      </c>
      <c r="F752" s="2091" t="s">
        <v>2343</v>
      </c>
      <c r="G752" s="2091" t="s">
        <v>24</v>
      </c>
      <c r="H752" s="2091" t="s">
        <v>24</v>
      </c>
      <c r="I752" s="2091" t="s">
        <v>752</v>
      </c>
    </row>
    <row r="753" spans="1:9" ht="11.25" customHeight="1">
      <c r="A753" s="2091" t="s">
        <v>2181</v>
      </c>
      <c r="B753" s="2091" t="s">
        <v>14</v>
      </c>
      <c r="C753" s="2091" t="s">
        <v>2953</v>
      </c>
      <c r="D753" s="2091" t="s">
        <v>2954</v>
      </c>
      <c r="E753" s="2091" t="s">
        <v>2955</v>
      </c>
      <c r="F753" s="2091" t="s">
        <v>2725</v>
      </c>
      <c r="G753" s="2091" t="s">
        <v>2956</v>
      </c>
      <c r="H753" s="2091" t="s">
        <v>24</v>
      </c>
      <c r="I753" s="2091" t="s">
        <v>752</v>
      </c>
    </row>
    <row r="754" spans="1:9" ht="11.25" customHeight="1">
      <c r="A754" s="2091" t="s">
        <v>2181</v>
      </c>
      <c r="B754" s="2091" t="s">
        <v>14</v>
      </c>
      <c r="C754" s="2091" t="s">
        <v>2960</v>
      </c>
      <c r="D754" s="2091" t="s">
        <v>2961</v>
      </c>
      <c r="E754" s="2091" t="s">
        <v>2962</v>
      </c>
      <c r="F754" s="2091" t="s">
        <v>2343</v>
      </c>
      <c r="G754" s="2091" t="s">
        <v>2963</v>
      </c>
      <c r="H754" s="2091" t="s">
        <v>24</v>
      </c>
      <c r="I754" s="2091" t="s">
        <v>752</v>
      </c>
    </row>
    <row r="755" spans="1:9" ht="11.25" customHeight="1">
      <c r="A755" s="2091" t="s">
        <v>2181</v>
      </c>
      <c r="B755" s="2091" t="s">
        <v>14</v>
      </c>
      <c r="C755" s="2091" t="s">
        <v>2964</v>
      </c>
      <c r="D755" s="2091" t="s">
        <v>2965</v>
      </c>
      <c r="E755" s="2091" t="s">
        <v>2966</v>
      </c>
      <c r="F755" s="2091" t="s">
        <v>2338</v>
      </c>
      <c r="G755" s="2091" t="s">
        <v>24</v>
      </c>
      <c r="H755" s="2091" t="s">
        <v>24</v>
      </c>
      <c r="I755" s="2091" t="s">
        <v>752</v>
      </c>
    </row>
    <row r="756" spans="1:9" ht="11.25" customHeight="1">
      <c r="A756" s="2091" t="s">
        <v>2181</v>
      </c>
      <c r="B756" s="2091" t="s">
        <v>14</v>
      </c>
      <c r="C756" s="2091" t="s">
        <v>2967</v>
      </c>
      <c r="D756" s="2091" t="s">
        <v>2968</v>
      </c>
      <c r="E756" s="2091" t="s">
        <v>2969</v>
      </c>
      <c r="F756" s="2091" t="s">
        <v>2226</v>
      </c>
      <c r="G756" s="2091" t="s">
        <v>24</v>
      </c>
      <c r="H756" s="2091" t="s">
        <v>24</v>
      </c>
      <c r="I756" s="2091" t="s">
        <v>752</v>
      </c>
    </row>
    <row r="757" spans="1:9" ht="11.25" customHeight="1">
      <c r="A757" s="2091" t="s">
        <v>2181</v>
      </c>
      <c r="B757" s="2091" t="s">
        <v>14</v>
      </c>
      <c r="C757" s="2091" t="s">
        <v>2970</v>
      </c>
      <c r="D757" s="2091" t="s">
        <v>2971</v>
      </c>
      <c r="E757" s="2091" t="s">
        <v>2972</v>
      </c>
      <c r="F757" s="2091" t="s">
        <v>2343</v>
      </c>
      <c r="G757" s="2091" t="s">
        <v>24</v>
      </c>
      <c r="H757" s="2091" t="s">
        <v>24</v>
      </c>
      <c r="I757" s="2091" t="s">
        <v>752</v>
      </c>
    </row>
    <row r="758" spans="1:9" ht="11.25" customHeight="1">
      <c r="A758" s="2091" t="s">
        <v>2181</v>
      </c>
      <c r="B758" s="2091" t="s">
        <v>14</v>
      </c>
      <c r="C758" s="2091" t="s">
        <v>3598</v>
      </c>
      <c r="D758" s="2091" t="s">
        <v>3599</v>
      </c>
      <c r="E758" s="2091" t="s">
        <v>3600</v>
      </c>
      <c r="F758" s="2091" t="s">
        <v>2500</v>
      </c>
      <c r="G758" s="2091" t="s">
        <v>3601</v>
      </c>
      <c r="H758" s="2091" t="s">
        <v>24</v>
      </c>
      <c r="I758" s="2091" t="s">
        <v>752</v>
      </c>
    </row>
    <row r="759" spans="1:9" ht="11.25" customHeight="1">
      <c r="A759" s="2091" t="s">
        <v>2181</v>
      </c>
      <c r="B759" s="2091" t="s">
        <v>14</v>
      </c>
      <c r="C759" s="2091" t="s">
        <v>3602</v>
      </c>
      <c r="D759" s="2091" t="s">
        <v>3603</v>
      </c>
      <c r="E759" s="2091" t="s">
        <v>3604</v>
      </c>
      <c r="F759" s="2091" t="s">
        <v>2383</v>
      </c>
      <c r="G759" s="2091" t="s">
        <v>24</v>
      </c>
      <c r="H759" s="2091" t="s">
        <v>24</v>
      </c>
      <c r="I759" s="2091" t="s">
        <v>752</v>
      </c>
    </row>
    <row r="760" spans="1:9" ht="11.25" customHeight="1">
      <c r="A760" s="2091" t="s">
        <v>2181</v>
      </c>
      <c r="B760" s="2091" t="s">
        <v>14</v>
      </c>
      <c r="C760" s="2091" t="s">
        <v>3605</v>
      </c>
      <c r="D760" s="2091" t="s">
        <v>3606</v>
      </c>
      <c r="E760" s="2091" t="s">
        <v>3607</v>
      </c>
      <c r="F760" s="2091" t="s">
        <v>2361</v>
      </c>
      <c r="G760" s="2091" t="s">
        <v>24</v>
      </c>
      <c r="H760" s="2091" t="s">
        <v>24</v>
      </c>
      <c r="I760" s="2091" t="s">
        <v>752</v>
      </c>
    </row>
    <row r="761" spans="1:9" ht="11.25" customHeight="1">
      <c r="A761" s="2091" t="s">
        <v>2181</v>
      </c>
      <c r="B761" s="2091" t="s">
        <v>14</v>
      </c>
      <c r="C761" s="2091" t="s">
        <v>3608</v>
      </c>
      <c r="D761" s="2091" t="s">
        <v>3606</v>
      </c>
      <c r="E761" s="2091" t="s">
        <v>3607</v>
      </c>
      <c r="F761" s="2091" t="s">
        <v>2194</v>
      </c>
      <c r="G761" s="2091" t="s">
        <v>24</v>
      </c>
      <c r="H761" s="2091" t="s">
        <v>24</v>
      </c>
      <c r="I761" s="2091" t="s">
        <v>752</v>
      </c>
    </row>
    <row r="762" spans="1:9" ht="11.25" customHeight="1">
      <c r="A762" s="2091" t="s">
        <v>2181</v>
      </c>
      <c r="B762" s="2091" t="s">
        <v>14</v>
      </c>
      <c r="C762" s="2091" t="s">
        <v>2973</v>
      </c>
      <c r="D762" s="2091" t="s">
        <v>2974</v>
      </c>
      <c r="E762" s="2091" t="s">
        <v>2975</v>
      </c>
      <c r="F762" s="2091" t="s">
        <v>2317</v>
      </c>
      <c r="G762" s="2091" t="s">
        <v>24</v>
      </c>
      <c r="H762" s="2091" t="s">
        <v>24</v>
      </c>
      <c r="I762" s="2091" t="s">
        <v>752</v>
      </c>
    </row>
    <row r="763" spans="1:9" ht="11.25" customHeight="1">
      <c r="A763" s="2091" t="s">
        <v>2181</v>
      </c>
      <c r="B763" s="2091" t="s">
        <v>14</v>
      </c>
      <c r="C763" s="2091" t="s">
        <v>2976</v>
      </c>
      <c r="D763" s="2091" t="s">
        <v>2977</v>
      </c>
      <c r="E763" s="2091" t="s">
        <v>2978</v>
      </c>
      <c r="F763" s="2091" t="s">
        <v>2679</v>
      </c>
      <c r="G763" s="2091" t="s">
        <v>2979</v>
      </c>
      <c r="H763" s="2091" t="s">
        <v>24</v>
      </c>
      <c r="I763" s="2091" t="s">
        <v>752</v>
      </c>
    </row>
    <row r="764" spans="1:9" ht="11.25" customHeight="1">
      <c r="A764" s="2091" t="s">
        <v>2181</v>
      </c>
      <c r="B764" s="2091" t="s">
        <v>14</v>
      </c>
      <c r="C764" s="2091" t="s">
        <v>2980</v>
      </c>
      <c r="D764" s="2091" t="s">
        <v>2981</v>
      </c>
      <c r="E764" s="2091" t="s">
        <v>2982</v>
      </c>
      <c r="F764" s="2091" t="s">
        <v>2683</v>
      </c>
      <c r="G764" s="2091" t="s">
        <v>2983</v>
      </c>
      <c r="H764" s="2091" t="s">
        <v>24</v>
      </c>
      <c r="I764" s="2091" t="s">
        <v>752</v>
      </c>
    </row>
    <row r="765" spans="1:9" ht="11.25" customHeight="1">
      <c r="A765" s="2091" t="s">
        <v>2181</v>
      </c>
      <c r="B765" s="2091" t="s">
        <v>14</v>
      </c>
      <c r="C765" s="2091" t="s">
        <v>2984</v>
      </c>
      <c r="D765" s="2091" t="s">
        <v>2985</v>
      </c>
      <c r="E765" s="2091" t="s">
        <v>2986</v>
      </c>
      <c r="F765" s="2091" t="s">
        <v>2218</v>
      </c>
      <c r="G765" s="2091" t="s">
        <v>24</v>
      </c>
      <c r="H765" s="2091" t="s">
        <v>24</v>
      </c>
      <c r="I765" s="2091" t="s">
        <v>752</v>
      </c>
    </row>
    <row r="766" spans="1:9" ht="11.25" customHeight="1">
      <c r="A766" s="2091" t="s">
        <v>2181</v>
      </c>
      <c r="B766" s="2091" t="s">
        <v>14</v>
      </c>
      <c r="C766" s="2091" t="s">
        <v>3609</v>
      </c>
      <c r="D766" s="2091" t="s">
        <v>3610</v>
      </c>
      <c r="E766" s="2091" t="s">
        <v>3611</v>
      </c>
      <c r="F766" s="2091" t="s">
        <v>2329</v>
      </c>
      <c r="G766" s="2091" t="s">
        <v>24</v>
      </c>
      <c r="H766" s="2091" t="s">
        <v>24</v>
      </c>
      <c r="I766" s="2091" t="s">
        <v>752</v>
      </c>
    </row>
    <row r="767" spans="1:9" ht="11.25" customHeight="1">
      <c r="A767" s="2091" t="s">
        <v>2181</v>
      </c>
      <c r="B767" s="2091" t="s">
        <v>14</v>
      </c>
      <c r="C767" s="2091" t="s">
        <v>2996</v>
      </c>
      <c r="D767" s="2091" t="s">
        <v>2997</v>
      </c>
      <c r="E767" s="2091" t="s">
        <v>2998</v>
      </c>
      <c r="F767" s="2091" t="s">
        <v>2679</v>
      </c>
      <c r="G767" s="2091" t="s">
        <v>2999</v>
      </c>
      <c r="H767" s="2091" t="s">
        <v>24</v>
      </c>
      <c r="I767" s="2091" t="s">
        <v>752</v>
      </c>
    </row>
    <row r="768" spans="1:9" ht="11.25" customHeight="1">
      <c r="A768" s="2091" t="s">
        <v>2181</v>
      </c>
      <c r="B768" s="2091" t="s">
        <v>14</v>
      </c>
      <c r="C768" s="2091" t="s">
        <v>3612</v>
      </c>
      <c r="D768" s="2091" t="s">
        <v>2997</v>
      </c>
      <c r="E768" s="2091" t="s">
        <v>3613</v>
      </c>
      <c r="F768" s="2091" t="s">
        <v>2372</v>
      </c>
      <c r="G768" s="2091" t="s">
        <v>24</v>
      </c>
      <c r="H768" s="2091" t="s">
        <v>24</v>
      </c>
      <c r="I768" s="2091" t="s">
        <v>752</v>
      </c>
    </row>
    <row r="769" spans="1:9" ht="11.25" customHeight="1">
      <c r="A769" s="2091" t="s">
        <v>2181</v>
      </c>
      <c r="B769" s="2091" t="s">
        <v>14</v>
      </c>
      <c r="C769" s="2091" t="s">
        <v>3000</v>
      </c>
      <c r="D769" s="2091" t="s">
        <v>3001</v>
      </c>
      <c r="E769" s="2091" t="s">
        <v>3002</v>
      </c>
      <c r="F769" s="2091" t="s">
        <v>2383</v>
      </c>
      <c r="G769" s="2091" t="s">
        <v>24</v>
      </c>
      <c r="H769" s="2091" t="s">
        <v>24</v>
      </c>
      <c r="I769" s="2091" t="s">
        <v>752</v>
      </c>
    </row>
    <row r="770" spans="1:9" ht="11.25" customHeight="1">
      <c r="A770" s="2091" t="s">
        <v>2181</v>
      </c>
      <c r="B770" s="2091" t="s">
        <v>14</v>
      </c>
      <c r="C770" s="2091" t="s">
        <v>3003</v>
      </c>
      <c r="D770" s="2091" t="s">
        <v>3004</v>
      </c>
      <c r="E770" s="2091" t="s">
        <v>3005</v>
      </c>
      <c r="F770" s="2091" t="s">
        <v>2255</v>
      </c>
      <c r="G770" s="2091" t="s">
        <v>24</v>
      </c>
      <c r="H770" s="2091" t="s">
        <v>24</v>
      </c>
      <c r="I770" s="2091" t="s">
        <v>752</v>
      </c>
    </row>
    <row r="771" spans="1:9" ht="11.25" customHeight="1">
      <c r="A771" s="2091" t="s">
        <v>2181</v>
      </c>
      <c r="B771" s="2091" t="s">
        <v>14</v>
      </c>
      <c r="C771" s="2091" t="s">
        <v>3614</v>
      </c>
      <c r="D771" s="2091" t="s">
        <v>3615</v>
      </c>
      <c r="E771" s="2091" t="s">
        <v>3616</v>
      </c>
      <c r="F771" s="2091" t="s">
        <v>2185</v>
      </c>
      <c r="G771" s="2091" t="s">
        <v>24</v>
      </c>
      <c r="H771" s="2091" t="s">
        <v>24</v>
      </c>
      <c r="I771" s="2091" t="s">
        <v>752</v>
      </c>
    </row>
    <row r="772" spans="1:9" ht="11.25" customHeight="1">
      <c r="A772" s="2091" t="s">
        <v>2181</v>
      </c>
      <c r="B772" s="2091" t="s">
        <v>14</v>
      </c>
      <c r="C772" s="2091" t="s">
        <v>3617</v>
      </c>
      <c r="D772" s="2091" t="s">
        <v>3618</v>
      </c>
      <c r="E772" s="2091" t="s">
        <v>3619</v>
      </c>
      <c r="F772" s="2091" t="s">
        <v>2365</v>
      </c>
      <c r="G772" s="2091" t="s">
        <v>24</v>
      </c>
      <c r="H772" s="2091" t="s">
        <v>24</v>
      </c>
      <c r="I772" s="2091" t="s">
        <v>752</v>
      </c>
    </row>
    <row r="773" spans="1:9" ht="11.25" customHeight="1">
      <c r="A773" s="2091" t="s">
        <v>2181</v>
      </c>
      <c r="B773" s="2091" t="s">
        <v>14</v>
      </c>
      <c r="C773" s="2091" t="s">
        <v>3009</v>
      </c>
      <c r="D773" s="2091" t="s">
        <v>3010</v>
      </c>
      <c r="E773" s="2091" t="s">
        <v>3011</v>
      </c>
      <c r="F773" s="2091" t="s">
        <v>2365</v>
      </c>
      <c r="G773" s="2091" t="s">
        <v>24</v>
      </c>
      <c r="H773" s="2091" t="s">
        <v>24</v>
      </c>
      <c r="I773" s="2091" t="s">
        <v>752</v>
      </c>
    </row>
    <row r="774" spans="1:9" ht="11.25" customHeight="1">
      <c r="A774" s="2091" t="s">
        <v>2181</v>
      </c>
      <c r="B774" s="2091" t="s">
        <v>14</v>
      </c>
      <c r="C774" s="2091" t="s">
        <v>3012</v>
      </c>
      <c r="D774" s="2091" t="s">
        <v>3013</v>
      </c>
      <c r="E774" s="2091" t="s">
        <v>3014</v>
      </c>
      <c r="F774" s="2091" t="s">
        <v>2578</v>
      </c>
      <c r="G774" s="2091" t="s">
        <v>24</v>
      </c>
      <c r="H774" s="2091" t="s">
        <v>24</v>
      </c>
      <c r="I774" s="2091" t="s">
        <v>752</v>
      </c>
    </row>
    <row r="775" spans="1:9" ht="11.25" customHeight="1">
      <c r="A775" s="2091" t="s">
        <v>2181</v>
      </c>
      <c r="B775" s="2091" t="s">
        <v>14</v>
      </c>
      <c r="C775" s="2091" t="s">
        <v>3620</v>
      </c>
      <c r="D775" s="2091" t="s">
        <v>3621</v>
      </c>
      <c r="E775" s="2091" t="s">
        <v>3622</v>
      </c>
      <c r="F775" s="2091" t="s">
        <v>2683</v>
      </c>
      <c r="G775" s="2091" t="s">
        <v>3623</v>
      </c>
      <c r="H775" s="2091" t="s">
        <v>24</v>
      </c>
      <c r="I775" s="2091" t="s">
        <v>752</v>
      </c>
    </row>
    <row r="776" spans="1:9" ht="11.25" customHeight="1">
      <c r="A776" s="2091" t="s">
        <v>2181</v>
      </c>
      <c r="B776" s="2091" t="s">
        <v>14</v>
      </c>
      <c r="C776" s="2091" t="s">
        <v>3024</v>
      </c>
      <c r="D776" s="2091" t="s">
        <v>3025</v>
      </c>
      <c r="E776" s="2091" t="s">
        <v>3026</v>
      </c>
      <c r="F776" s="2091" t="s">
        <v>2250</v>
      </c>
      <c r="G776" s="2091" t="s">
        <v>3027</v>
      </c>
      <c r="H776" s="2091" t="s">
        <v>24</v>
      </c>
      <c r="I776" s="2091" t="s">
        <v>752</v>
      </c>
    </row>
    <row r="777" spans="1:9" ht="11.25" customHeight="1">
      <c r="A777" s="2091" t="s">
        <v>2181</v>
      </c>
      <c r="B777" s="2091" t="s">
        <v>14</v>
      </c>
      <c r="C777" s="2091" t="s">
        <v>3624</v>
      </c>
      <c r="D777" s="2091" t="s">
        <v>3625</v>
      </c>
      <c r="E777" s="2091" t="s">
        <v>3626</v>
      </c>
      <c r="F777" s="2091" t="s">
        <v>2383</v>
      </c>
      <c r="G777" s="2091" t="s">
        <v>24</v>
      </c>
      <c r="H777" s="2091" t="s">
        <v>24</v>
      </c>
      <c r="I777" s="2091" t="s">
        <v>752</v>
      </c>
    </row>
    <row r="778" spans="1:9" ht="11.25" customHeight="1">
      <c r="A778" s="2091" t="s">
        <v>2181</v>
      </c>
      <c r="B778" s="2091" t="s">
        <v>14</v>
      </c>
      <c r="C778" s="2091" t="s">
        <v>3028</v>
      </c>
      <c r="D778" s="2091" t="s">
        <v>3029</v>
      </c>
      <c r="E778" s="2091" t="s">
        <v>3030</v>
      </c>
      <c r="F778" s="2091" t="s">
        <v>2317</v>
      </c>
      <c r="G778" s="2091" t="s">
        <v>24</v>
      </c>
      <c r="H778" s="2091" t="s">
        <v>3031</v>
      </c>
      <c r="I778" s="2091" t="s">
        <v>752</v>
      </c>
    </row>
    <row r="779" spans="1:9" ht="11.25" customHeight="1">
      <c r="A779" s="2091" t="s">
        <v>2181</v>
      </c>
      <c r="B779" s="2091" t="s">
        <v>14</v>
      </c>
      <c r="C779" s="2091" t="s">
        <v>3032</v>
      </c>
      <c r="D779" s="2091" t="s">
        <v>3033</v>
      </c>
      <c r="E779" s="2091" t="s">
        <v>3034</v>
      </c>
      <c r="F779" s="2091" t="s">
        <v>2365</v>
      </c>
      <c r="G779" s="2091" t="s">
        <v>24</v>
      </c>
      <c r="H779" s="2091" t="s">
        <v>24</v>
      </c>
      <c r="I779" s="2091" t="s">
        <v>752</v>
      </c>
    </row>
    <row r="780" spans="1:9" ht="11.25" customHeight="1">
      <c r="A780" s="2091" t="s">
        <v>2181</v>
      </c>
      <c r="B780" s="2091" t="s">
        <v>14</v>
      </c>
      <c r="C780" s="2091" t="s">
        <v>3038</v>
      </c>
      <c r="D780" s="2091" t="s">
        <v>3039</v>
      </c>
      <c r="E780" s="2091" t="s">
        <v>3040</v>
      </c>
      <c r="F780" s="2091" t="s">
        <v>2334</v>
      </c>
      <c r="G780" s="2091" t="s">
        <v>24</v>
      </c>
      <c r="H780" s="2091" t="s">
        <v>24</v>
      </c>
      <c r="I780" s="2091" t="s">
        <v>752</v>
      </c>
    </row>
    <row r="781" spans="1:9" ht="11.25" customHeight="1">
      <c r="A781" s="2091" t="s">
        <v>2181</v>
      </c>
      <c r="B781" s="2091" t="s">
        <v>14</v>
      </c>
      <c r="C781" s="2091" t="s">
        <v>3041</v>
      </c>
      <c r="D781" s="2091" t="s">
        <v>3042</v>
      </c>
      <c r="E781" s="2091" t="s">
        <v>3043</v>
      </c>
      <c r="F781" s="2091" t="s">
        <v>2343</v>
      </c>
      <c r="G781" s="2091" t="s">
        <v>24</v>
      </c>
      <c r="H781" s="2091" t="s">
        <v>24</v>
      </c>
      <c r="I781" s="2091" t="s">
        <v>752</v>
      </c>
    </row>
    <row r="782" spans="1:9" ht="11.25" customHeight="1">
      <c r="A782" s="2091" t="s">
        <v>2181</v>
      </c>
      <c r="B782" s="2091" t="s">
        <v>14</v>
      </c>
      <c r="C782" s="2091" t="s">
        <v>3044</v>
      </c>
      <c r="D782" s="2091" t="s">
        <v>3045</v>
      </c>
      <c r="E782" s="2091" t="s">
        <v>3046</v>
      </c>
      <c r="F782" s="2091" t="s">
        <v>2317</v>
      </c>
      <c r="G782" s="2091" t="s">
        <v>24</v>
      </c>
      <c r="H782" s="2091" t="s">
        <v>24</v>
      </c>
      <c r="I782" s="2091" t="s">
        <v>752</v>
      </c>
    </row>
    <row r="783" spans="1:9" ht="11.25" customHeight="1">
      <c r="A783" s="2091" t="s">
        <v>2181</v>
      </c>
      <c r="B783" s="2091" t="s">
        <v>14</v>
      </c>
      <c r="C783" s="2091" t="s">
        <v>3627</v>
      </c>
      <c r="D783" s="2091" t="s">
        <v>3628</v>
      </c>
      <c r="E783" s="2091" t="s">
        <v>3629</v>
      </c>
      <c r="F783" s="2091" t="s">
        <v>2631</v>
      </c>
      <c r="G783" s="2091" t="s">
        <v>24</v>
      </c>
      <c r="H783" s="2091" t="s">
        <v>24</v>
      </c>
      <c r="I783" s="2091" t="s">
        <v>752</v>
      </c>
    </row>
    <row r="784" spans="1:9" ht="11.25" customHeight="1">
      <c r="A784" s="2091" t="s">
        <v>2181</v>
      </c>
      <c r="B784" s="2091" t="s">
        <v>14</v>
      </c>
      <c r="C784" s="2091" t="s">
        <v>3047</v>
      </c>
      <c r="D784" s="2091" t="s">
        <v>3048</v>
      </c>
      <c r="E784" s="2091" t="s">
        <v>3049</v>
      </c>
      <c r="F784" s="2091" t="s">
        <v>2631</v>
      </c>
      <c r="G784" s="2091" t="s">
        <v>24</v>
      </c>
      <c r="H784" s="2091" t="s">
        <v>24</v>
      </c>
      <c r="I784" s="2091" t="s">
        <v>752</v>
      </c>
    </row>
    <row r="785" spans="1:9" ht="11.25" customHeight="1">
      <c r="A785" s="2091" t="s">
        <v>2181</v>
      </c>
      <c r="B785" s="2091" t="s">
        <v>14</v>
      </c>
      <c r="C785" s="2091" t="s">
        <v>3050</v>
      </c>
      <c r="D785" s="2091" t="s">
        <v>3051</v>
      </c>
      <c r="E785" s="2091" t="s">
        <v>3052</v>
      </c>
      <c r="F785" s="2091" t="s">
        <v>2255</v>
      </c>
      <c r="G785" s="2091" t="s">
        <v>3053</v>
      </c>
      <c r="H785" s="2091" t="s">
        <v>24</v>
      </c>
      <c r="I785" s="2091" t="s">
        <v>752</v>
      </c>
    </row>
    <row r="786" spans="1:9" ht="11.25" customHeight="1">
      <c r="A786" s="2091" t="s">
        <v>2181</v>
      </c>
      <c r="B786" s="2091" t="s">
        <v>14</v>
      </c>
      <c r="C786" s="2091" t="s">
        <v>3088</v>
      </c>
      <c r="D786" s="2091" t="s">
        <v>3089</v>
      </c>
      <c r="E786" s="2091" t="s">
        <v>3090</v>
      </c>
      <c r="F786" s="2091" t="s">
        <v>2852</v>
      </c>
      <c r="G786" s="2091" t="s">
        <v>24</v>
      </c>
      <c r="H786" s="2091" t="s">
        <v>24</v>
      </c>
      <c r="I786" s="2091" t="s">
        <v>752</v>
      </c>
    </row>
    <row r="787" spans="1:9" ht="11.25" customHeight="1">
      <c r="A787" s="2091" t="s">
        <v>2181</v>
      </c>
      <c r="B787" s="2091" t="s">
        <v>14</v>
      </c>
      <c r="C787" s="2091" t="s">
        <v>3091</v>
      </c>
      <c r="D787" s="2091" t="s">
        <v>3092</v>
      </c>
      <c r="E787" s="2091" t="s">
        <v>3093</v>
      </c>
      <c r="F787" s="2091" t="s">
        <v>2683</v>
      </c>
      <c r="G787" s="2091" t="s">
        <v>24</v>
      </c>
      <c r="H787" s="2091" t="s">
        <v>24</v>
      </c>
      <c r="I787" s="2091" t="s">
        <v>752</v>
      </c>
    </row>
    <row r="788" spans="1:9" ht="11.25" customHeight="1">
      <c r="A788" s="2091" t="s">
        <v>2181</v>
      </c>
      <c r="B788" s="2091" t="s">
        <v>14</v>
      </c>
      <c r="C788" s="2091" t="s">
        <v>3097</v>
      </c>
      <c r="D788" s="2091" t="s">
        <v>3098</v>
      </c>
      <c r="E788" s="2091" t="s">
        <v>3099</v>
      </c>
      <c r="F788" s="2091" t="s">
        <v>2429</v>
      </c>
      <c r="G788" s="2091" t="s">
        <v>24</v>
      </c>
      <c r="H788" s="2091" t="s">
        <v>24</v>
      </c>
      <c r="I788" s="2091" t="s">
        <v>752</v>
      </c>
    </row>
    <row r="789" spans="1:9" ht="11.25" customHeight="1">
      <c r="A789" s="2091" t="s">
        <v>2181</v>
      </c>
      <c r="B789" s="2091" t="s">
        <v>14</v>
      </c>
      <c r="C789" s="2091" t="s">
        <v>3630</v>
      </c>
      <c r="D789" s="2091" t="s">
        <v>3631</v>
      </c>
      <c r="E789" s="2091" t="s">
        <v>3632</v>
      </c>
      <c r="F789" s="2091" t="s">
        <v>2683</v>
      </c>
      <c r="G789" s="2091" t="s">
        <v>3633</v>
      </c>
      <c r="H789" s="2091" t="s">
        <v>24</v>
      </c>
      <c r="I789" s="2091" t="s">
        <v>752</v>
      </c>
    </row>
    <row r="790" spans="1:9" ht="11.25" customHeight="1">
      <c r="A790" s="2091" t="s">
        <v>2181</v>
      </c>
      <c r="B790" s="2091" t="s">
        <v>14</v>
      </c>
      <c r="C790" s="2091" t="s">
        <v>3100</v>
      </c>
      <c r="D790" s="2091" t="s">
        <v>3101</v>
      </c>
      <c r="E790" s="2091" t="s">
        <v>3102</v>
      </c>
      <c r="F790" s="2091" t="s">
        <v>2226</v>
      </c>
      <c r="G790" s="2091" t="s">
        <v>24</v>
      </c>
      <c r="H790" s="2091" t="s">
        <v>24</v>
      </c>
      <c r="I790" s="2091" t="s">
        <v>752</v>
      </c>
    </row>
    <row r="791" spans="1:9" ht="11.25" customHeight="1">
      <c r="A791" s="2091" t="s">
        <v>2181</v>
      </c>
      <c r="B791" s="2091" t="s">
        <v>14</v>
      </c>
      <c r="C791" s="2091" t="s">
        <v>3634</v>
      </c>
      <c r="D791" s="2091" t="s">
        <v>3635</v>
      </c>
      <c r="E791" s="2091" t="s">
        <v>3636</v>
      </c>
      <c r="F791" s="2091" t="s">
        <v>2631</v>
      </c>
      <c r="G791" s="2091" t="s">
        <v>24</v>
      </c>
      <c r="H791" s="2091" t="s">
        <v>24</v>
      </c>
      <c r="I791" s="2091" t="s">
        <v>752</v>
      </c>
    </row>
    <row r="792" spans="1:9" ht="11.25" customHeight="1">
      <c r="A792" s="2091" t="s">
        <v>2181</v>
      </c>
      <c r="B792" s="2091" t="s">
        <v>14</v>
      </c>
      <c r="C792" s="2091" t="s">
        <v>3103</v>
      </c>
      <c r="D792" s="2091" t="s">
        <v>3104</v>
      </c>
      <c r="E792" s="2091" t="s">
        <v>3105</v>
      </c>
      <c r="F792" s="2091" t="s">
        <v>2361</v>
      </c>
      <c r="G792" s="2091" t="s">
        <v>3106</v>
      </c>
      <c r="H792" s="2091" t="s">
        <v>24</v>
      </c>
      <c r="I792" s="2091" t="s">
        <v>752</v>
      </c>
    </row>
    <row r="793" spans="1:9" ht="11.25" customHeight="1">
      <c r="A793" s="2091" t="s">
        <v>2181</v>
      </c>
      <c r="B793" s="2091" t="s">
        <v>14</v>
      </c>
      <c r="C793" s="2091" t="s">
        <v>3107</v>
      </c>
      <c r="D793" s="2091" t="s">
        <v>3108</v>
      </c>
      <c r="E793" s="2091" t="s">
        <v>3109</v>
      </c>
      <c r="F793" s="2091" t="s">
        <v>2329</v>
      </c>
      <c r="G793" s="2091" t="s">
        <v>24</v>
      </c>
      <c r="H793" s="2091" t="s">
        <v>24</v>
      </c>
      <c r="I793" s="2091" t="s">
        <v>752</v>
      </c>
    </row>
    <row r="794" spans="1:9" ht="11.25" customHeight="1">
      <c r="A794" s="2091" t="s">
        <v>2181</v>
      </c>
      <c r="B794" s="2091" t="s">
        <v>14</v>
      </c>
      <c r="C794" s="2091" t="s">
        <v>3113</v>
      </c>
      <c r="D794" s="2091" t="s">
        <v>3114</v>
      </c>
      <c r="E794" s="2091" t="s">
        <v>3115</v>
      </c>
      <c r="F794" s="2091" t="s">
        <v>2343</v>
      </c>
      <c r="G794" s="2091" t="s">
        <v>24</v>
      </c>
      <c r="H794" s="2091" t="s">
        <v>3116</v>
      </c>
      <c r="I794" s="2091" t="s">
        <v>752</v>
      </c>
    </row>
    <row r="795" spans="1:9" ht="11.25" customHeight="1">
      <c r="A795" s="2091" t="s">
        <v>2181</v>
      </c>
      <c r="B795" s="2091" t="s">
        <v>14</v>
      </c>
      <c r="C795" s="2091" t="s">
        <v>3117</v>
      </c>
      <c r="D795" s="2091" t="s">
        <v>3118</v>
      </c>
      <c r="E795" s="2091" t="s">
        <v>3119</v>
      </c>
      <c r="F795" s="2091" t="s">
        <v>2365</v>
      </c>
      <c r="G795" s="2091" t="s">
        <v>3120</v>
      </c>
      <c r="H795" s="2091" t="s">
        <v>24</v>
      </c>
      <c r="I795" s="2091" t="s">
        <v>752</v>
      </c>
    </row>
    <row r="796" spans="1:9" ht="11.25" customHeight="1">
      <c r="A796" s="2091" t="s">
        <v>2181</v>
      </c>
      <c r="B796" s="2091" t="s">
        <v>14</v>
      </c>
      <c r="C796" s="2091" t="s">
        <v>3128</v>
      </c>
      <c r="D796" s="2091" t="s">
        <v>3129</v>
      </c>
      <c r="E796" s="2091" t="s">
        <v>3130</v>
      </c>
      <c r="F796" s="2091" t="s">
        <v>2317</v>
      </c>
      <c r="G796" s="2091" t="s">
        <v>24</v>
      </c>
      <c r="H796" s="2091" t="s">
        <v>24</v>
      </c>
      <c r="I796" s="2091" t="s">
        <v>752</v>
      </c>
    </row>
    <row r="797" spans="1:9" ht="11.25" customHeight="1">
      <c r="A797" s="2091" t="s">
        <v>2181</v>
      </c>
      <c r="B797" s="2091" t="s">
        <v>14</v>
      </c>
      <c r="C797" s="2091" t="s">
        <v>3637</v>
      </c>
      <c r="D797" s="2091" t="s">
        <v>3638</v>
      </c>
      <c r="E797" s="2091" t="s">
        <v>3639</v>
      </c>
      <c r="F797" s="2091" t="s">
        <v>2683</v>
      </c>
      <c r="G797" s="2091" t="s">
        <v>3640</v>
      </c>
      <c r="H797" s="2091" t="s">
        <v>24</v>
      </c>
      <c r="I797" s="2091" t="s">
        <v>752</v>
      </c>
    </row>
    <row r="798" spans="1:9" ht="11.25" customHeight="1">
      <c r="A798" s="2091" t="s">
        <v>2181</v>
      </c>
      <c r="B798" s="2091" t="s">
        <v>14</v>
      </c>
      <c r="C798" s="2091" t="s">
        <v>3641</v>
      </c>
      <c r="D798" s="2091" t="s">
        <v>3642</v>
      </c>
      <c r="E798" s="2091" t="s">
        <v>3643</v>
      </c>
      <c r="F798" s="2091" t="s">
        <v>2683</v>
      </c>
      <c r="G798" s="2091" t="s">
        <v>3644</v>
      </c>
      <c r="H798" s="2091" t="s">
        <v>24</v>
      </c>
      <c r="I798" s="2091" t="s">
        <v>752</v>
      </c>
    </row>
    <row r="799" spans="1:9" ht="11.25" customHeight="1">
      <c r="A799" s="2091" t="s">
        <v>2181</v>
      </c>
      <c r="B799" s="2091" t="s">
        <v>14</v>
      </c>
      <c r="C799" s="2091" t="s">
        <v>3645</v>
      </c>
      <c r="D799" s="2091" t="s">
        <v>3646</v>
      </c>
      <c r="E799" s="2091" t="s">
        <v>3647</v>
      </c>
      <c r="F799" s="2091" t="s">
        <v>2463</v>
      </c>
      <c r="G799" s="2091" t="s">
        <v>24</v>
      </c>
      <c r="H799" s="2091" t="s">
        <v>2714</v>
      </c>
      <c r="I799" s="2091" t="s">
        <v>752</v>
      </c>
    </row>
    <row r="800" spans="1:9" ht="11.25" customHeight="1">
      <c r="A800" s="2091" t="s">
        <v>2181</v>
      </c>
      <c r="B800" s="2091" t="s">
        <v>14</v>
      </c>
      <c r="C800" s="2091" t="s">
        <v>3648</v>
      </c>
      <c r="D800" s="2091" t="s">
        <v>3649</v>
      </c>
      <c r="E800" s="2091" t="s">
        <v>3650</v>
      </c>
      <c r="F800" s="2091" t="s">
        <v>3651</v>
      </c>
      <c r="G800" s="2091" t="s">
        <v>24</v>
      </c>
      <c r="H800" s="2091" t="s">
        <v>24</v>
      </c>
      <c r="I800" s="2091" t="s">
        <v>752</v>
      </c>
    </row>
    <row r="801" spans="1:9" ht="11.25" customHeight="1">
      <c r="A801" s="2091" t="s">
        <v>2181</v>
      </c>
      <c r="B801" s="2091" t="s">
        <v>14</v>
      </c>
      <c r="C801" s="2091" t="s">
        <v>3146</v>
      </c>
      <c r="D801" s="2091" t="s">
        <v>3147</v>
      </c>
      <c r="E801" s="2091" t="s">
        <v>3148</v>
      </c>
      <c r="F801" s="2091" t="s">
        <v>2222</v>
      </c>
      <c r="G801" s="2091" t="s">
        <v>3149</v>
      </c>
      <c r="H801" s="2091" t="s">
        <v>24</v>
      </c>
      <c r="I801" s="2091" t="s">
        <v>752</v>
      </c>
    </row>
    <row r="802" spans="1:9" ht="11.25" customHeight="1">
      <c r="A802" s="2091" t="s">
        <v>2181</v>
      </c>
      <c r="B802" s="2091" t="s">
        <v>14</v>
      </c>
      <c r="C802" s="2091" t="s">
        <v>3153</v>
      </c>
      <c r="D802" s="2091" t="s">
        <v>3154</v>
      </c>
      <c r="E802" s="2091" t="s">
        <v>3155</v>
      </c>
      <c r="F802" s="2091" t="s">
        <v>2631</v>
      </c>
      <c r="G802" s="2091" t="s">
        <v>3156</v>
      </c>
      <c r="H802" s="2091" t="s">
        <v>24</v>
      </c>
      <c r="I802" s="2091" t="s">
        <v>752</v>
      </c>
    </row>
    <row r="803" spans="1:9" ht="11.25" customHeight="1">
      <c r="A803" s="2091" t="s">
        <v>2181</v>
      </c>
      <c r="B803" s="2091" t="s">
        <v>14</v>
      </c>
      <c r="C803" s="2091" t="s">
        <v>3157</v>
      </c>
      <c r="D803" s="2091" t="s">
        <v>3154</v>
      </c>
      <c r="E803" s="2091" t="s">
        <v>3158</v>
      </c>
      <c r="F803" s="2091" t="s">
        <v>2578</v>
      </c>
      <c r="G803" s="2091" t="s">
        <v>24</v>
      </c>
      <c r="H803" s="2091" t="s">
        <v>24</v>
      </c>
      <c r="I803" s="2091" t="s">
        <v>752</v>
      </c>
    </row>
    <row r="804" spans="1:9" ht="11.25" customHeight="1">
      <c r="A804" s="2091" t="s">
        <v>2181</v>
      </c>
      <c r="B804" s="2091" t="s">
        <v>14</v>
      </c>
      <c r="C804" s="2091" t="s">
        <v>3172</v>
      </c>
      <c r="D804" s="2091" t="s">
        <v>3173</v>
      </c>
      <c r="E804" s="2091" t="s">
        <v>3174</v>
      </c>
      <c r="F804" s="2091" t="s">
        <v>2293</v>
      </c>
      <c r="G804" s="2091" t="s">
        <v>24</v>
      </c>
      <c r="H804" s="2091" t="s">
        <v>24</v>
      </c>
      <c r="I804" s="2091" t="s">
        <v>752</v>
      </c>
    </row>
    <row r="805" spans="1:9" ht="11.25" customHeight="1">
      <c r="A805" s="2091" t="s">
        <v>2181</v>
      </c>
      <c r="B805" s="2091" t="s">
        <v>14</v>
      </c>
      <c r="C805" s="2091" t="s">
        <v>3175</v>
      </c>
      <c r="D805" s="2091" t="s">
        <v>3176</v>
      </c>
      <c r="E805" s="2091" t="s">
        <v>3177</v>
      </c>
      <c r="F805" s="2091" t="s">
        <v>2343</v>
      </c>
      <c r="G805" s="2091" t="s">
        <v>24</v>
      </c>
      <c r="H805" s="2091" t="s">
        <v>24</v>
      </c>
      <c r="I805" s="2091" t="s">
        <v>752</v>
      </c>
    </row>
    <row r="806" spans="1:9" ht="11.25" customHeight="1">
      <c r="A806" s="2091" t="s">
        <v>2181</v>
      </c>
      <c r="B806" s="2091" t="s">
        <v>14</v>
      </c>
      <c r="C806" s="2091" t="s">
        <v>3652</v>
      </c>
      <c r="D806" s="2091" t="s">
        <v>3653</v>
      </c>
      <c r="E806" s="2091" t="s">
        <v>3654</v>
      </c>
      <c r="F806" s="2091" t="s">
        <v>2273</v>
      </c>
      <c r="G806" s="2091" t="s">
        <v>24</v>
      </c>
      <c r="H806" s="2091" t="s">
        <v>24</v>
      </c>
      <c r="I806" s="2091" t="s">
        <v>752</v>
      </c>
    </row>
    <row r="807" spans="1:9" ht="11.25" customHeight="1">
      <c r="A807" s="2091" t="s">
        <v>2181</v>
      </c>
      <c r="B807" s="2091" t="s">
        <v>14</v>
      </c>
      <c r="C807" s="2091" t="s">
        <v>3655</v>
      </c>
      <c r="D807" s="2091" t="s">
        <v>3656</v>
      </c>
      <c r="E807" s="2091" t="s">
        <v>3657</v>
      </c>
      <c r="F807" s="2091" t="s">
        <v>3658</v>
      </c>
      <c r="G807" s="2091" t="s">
        <v>24</v>
      </c>
      <c r="H807" s="2091" t="s">
        <v>24</v>
      </c>
      <c r="I807" s="2091" t="s">
        <v>752</v>
      </c>
    </row>
    <row r="808" spans="1:9" ht="11.25" customHeight="1">
      <c r="A808" s="2091" t="s">
        <v>2181</v>
      </c>
      <c r="B808" s="2091" t="s">
        <v>14</v>
      </c>
      <c r="C808" s="2091" t="s">
        <v>3178</v>
      </c>
      <c r="D808" s="2091" t="s">
        <v>3179</v>
      </c>
      <c r="E808" s="2091" t="s">
        <v>3180</v>
      </c>
      <c r="F808" s="2091" t="s">
        <v>2226</v>
      </c>
      <c r="G808" s="2091" t="s">
        <v>24</v>
      </c>
      <c r="H808" s="2091" t="s">
        <v>24</v>
      </c>
      <c r="I808" s="2091" t="s">
        <v>752</v>
      </c>
    </row>
    <row r="809" spans="1:9" ht="11.25" customHeight="1">
      <c r="A809" s="2091" t="s">
        <v>2181</v>
      </c>
      <c r="B809" s="2091" t="s">
        <v>14</v>
      </c>
      <c r="C809" s="2091" t="s">
        <v>3659</v>
      </c>
      <c r="D809" s="2091" t="s">
        <v>3660</v>
      </c>
      <c r="E809" s="2091" t="s">
        <v>3661</v>
      </c>
      <c r="F809" s="2091" t="s">
        <v>2226</v>
      </c>
      <c r="G809" s="2091" t="s">
        <v>24</v>
      </c>
      <c r="H809" s="2091" t="s">
        <v>24</v>
      </c>
      <c r="I809" s="2091" t="s">
        <v>752</v>
      </c>
    </row>
    <row r="810" spans="1:9" ht="11.25" customHeight="1">
      <c r="A810" s="2091" t="s">
        <v>2181</v>
      </c>
      <c r="B810" s="2091" t="s">
        <v>14</v>
      </c>
      <c r="C810" s="2091" t="s">
        <v>3662</v>
      </c>
      <c r="D810" s="2091" t="s">
        <v>3663</v>
      </c>
      <c r="E810" s="2091" t="s">
        <v>3664</v>
      </c>
      <c r="F810" s="2091" t="s">
        <v>3355</v>
      </c>
      <c r="G810" s="2091" t="s">
        <v>24</v>
      </c>
      <c r="H810" s="2091" t="s">
        <v>24</v>
      </c>
      <c r="I810" s="2091" t="s">
        <v>752</v>
      </c>
    </row>
    <row r="811" spans="1:9" ht="11.25" customHeight="1">
      <c r="A811" s="2091" t="s">
        <v>2181</v>
      </c>
      <c r="B811" s="2091" t="s">
        <v>14</v>
      </c>
      <c r="C811" s="2091" t="s">
        <v>3193</v>
      </c>
      <c r="D811" s="2091" t="s">
        <v>3194</v>
      </c>
      <c r="E811" s="2091" t="s">
        <v>3195</v>
      </c>
      <c r="F811" s="2091" t="s">
        <v>2293</v>
      </c>
      <c r="G811" s="2091" t="s">
        <v>24</v>
      </c>
      <c r="H811" s="2091" t="s">
        <v>24</v>
      </c>
      <c r="I811" s="2091" t="s">
        <v>752</v>
      </c>
    </row>
    <row r="812" spans="1:9" ht="11.25" customHeight="1">
      <c r="A812" s="2091" t="s">
        <v>2181</v>
      </c>
      <c r="B812" s="2091" t="s">
        <v>14</v>
      </c>
      <c r="C812" s="2091" t="s">
        <v>3665</v>
      </c>
      <c r="D812" s="2091" t="s">
        <v>3666</v>
      </c>
      <c r="E812" s="2091" t="s">
        <v>3667</v>
      </c>
      <c r="F812" s="2091" t="s">
        <v>2605</v>
      </c>
      <c r="G812" s="2091" t="s">
        <v>24</v>
      </c>
      <c r="H812" s="2091" t="s">
        <v>24</v>
      </c>
      <c r="I812" s="2091" t="s">
        <v>752</v>
      </c>
    </row>
    <row r="813" spans="1:9" ht="11.25" customHeight="1">
      <c r="A813" s="2091" t="s">
        <v>2181</v>
      </c>
      <c r="B813" s="2091" t="s">
        <v>14</v>
      </c>
      <c r="C813" s="2091" t="s">
        <v>3196</v>
      </c>
      <c r="D813" s="2091" t="s">
        <v>3197</v>
      </c>
      <c r="E813" s="2091" t="s">
        <v>3198</v>
      </c>
      <c r="F813" s="2091" t="s">
        <v>2343</v>
      </c>
      <c r="G813" s="2091" t="s">
        <v>24</v>
      </c>
      <c r="H813" s="2091" t="s">
        <v>24</v>
      </c>
      <c r="I813" s="2091" t="s">
        <v>752</v>
      </c>
    </row>
    <row r="814" spans="1:9" ht="11.25" customHeight="1">
      <c r="A814" s="2091" t="s">
        <v>2181</v>
      </c>
      <c r="B814" s="2091" t="s">
        <v>14</v>
      </c>
      <c r="C814" s="2091" t="s">
        <v>3208</v>
      </c>
      <c r="D814" s="2091" t="s">
        <v>3209</v>
      </c>
      <c r="E814" s="2091" t="s">
        <v>3210</v>
      </c>
      <c r="F814" s="2091" t="s">
        <v>2343</v>
      </c>
      <c r="G814" s="2091" t="s">
        <v>24</v>
      </c>
      <c r="H814" s="2091" t="s">
        <v>24</v>
      </c>
      <c r="I814" s="2091" t="s">
        <v>752</v>
      </c>
    </row>
    <row r="815" spans="1:9" ht="11.25" customHeight="1">
      <c r="A815" s="2091" t="s">
        <v>2181</v>
      </c>
      <c r="B815" s="2091" t="s">
        <v>14</v>
      </c>
      <c r="C815" s="2091" t="s">
        <v>3217</v>
      </c>
      <c r="D815" s="2091" t="s">
        <v>3218</v>
      </c>
      <c r="E815" s="2091" t="s">
        <v>3219</v>
      </c>
      <c r="F815" s="2091" t="s">
        <v>2226</v>
      </c>
      <c r="G815" s="2091" t="s">
        <v>24</v>
      </c>
      <c r="H815" s="2091" t="s">
        <v>24</v>
      </c>
      <c r="I815" s="2091" t="s">
        <v>752</v>
      </c>
    </row>
    <row r="816" spans="1:9" ht="11.25" customHeight="1">
      <c r="A816" s="2091" t="s">
        <v>2181</v>
      </c>
      <c r="B816" s="2091" t="s">
        <v>14</v>
      </c>
      <c r="C816" s="2091" t="s">
        <v>3220</v>
      </c>
      <c r="D816" s="2091" t="s">
        <v>3221</v>
      </c>
      <c r="E816" s="2091" t="s">
        <v>3222</v>
      </c>
      <c r="F816" s="2091" t="s">
        <v>2365</v>
      </c>
      <c r="G816" s="2091" t="s">
        <v>24</v>
      </c>
      <c r="H816" s="2091" t="s">
        <v>24</v>
      </c>
      <c r="I816" s="2091" t="s">
        <v>752</v>
      </c>
    </row>
    <row r="817" spans="1:9" ht="11.25" customHeight="1">
      <c r="A817" s="2091" t="s">
        <v>2181</v>
      </c>
      <c r="B817" s="2091" t="s">
        <v>14</v>
      </c>
      <c r="C817" s="2091" t="s">
        <v>3229</v>
      </c>
      <c r="D817" s="2091" t="s">
        <v>3230</v>
      </c>
      <c r="E817" s="2091" t="s">
        <v>3231</v>
      </c>
      <c r="F817" s="2091" t="s">
        <v>2365</v>
      </c>
      <c r="G817" s="2091" t="s">
        <v>3232</v>
      </c>
      <c r="H817" s="2091" t="s">
        <v>24</v>
      </c>
      <c r="I817" s="2091" t="s">
        <v>752</v>
      </c>
    </row>
    <row r="818" spans="1:9" ht="11.25" customHeight="1">
      <c r="A818" s="2091" t="s">
        <v>2181</v>
      </c>
      <c r="B818" s="2091" t="s">
        <v>14</v>
      </c>
      <c r="C818" s="2091" t="s">
        <v>3233</v>
      </c>
      <c r="D818" s="2091" t="s">
        <v>3234</v>
      </c>
      <c r="E818" s="2091" t="s">
        <v>3235</v>
      </c>
      <c r="F818" s="2091" t="s">
        <v>2273</v>
      </c>
      <c r="G818" s="2091" t="s">
        <v>3236</v>
      </c>
      <c r="H818" s="2091" t="s">
        <v>24</v>
      </c>
      <c r="I818" s="2091" t="s">
        <v>752</v>
      </c>
    </row>
    <row r="819" spans="1:9" ht="11.25" customHeight="1">
      <c r="A819" s="2091" t="s">
        <v>2181</v>
      </c>
      <c r="B819" s="2091" t="s">
        <v>14</v>
      </c>
      <c r="C819" s="2091" t="s">
        <v>3240</v>
      </c>
      <c r="D819" s="2091" t="s">
        <v>3241</v>
      </c>
      <c r="E819" s="2091" t="s">
        <v>3242</v>
      </c>
      <c r="F819" s="2091" t="s">
        <v>2343</v>
      </c>
      <c r="G819" s="2091" t="s">
        <v>24</v>
      </c>
      <c r="H819" s="2091" t="s">
        <v>24</v>
      </c>
      <c r="I819" s="2091" t="s">
        <v>752</v>
      </c>
    </row>
    <row r="820" spans="1:9" ht="11.25" customHeight="1">
      <c r="A820" s="2091" t="s">
        <v>2181</v>
      </c>
      <c r="B820" s="2091" t="s">
        <v>14</v>
      </c>
      <c r="C820" s="2091" t="s">
        <v>3243</v>
      </c>
      <c r="D820" s="2091" t="s">
        <v>3244</v>
      </c>
      <c r="E820" s="2091" t="s">
        <v>3245</v>
      </c>
      <c r="F820" s="2091" t="s">
        <v>2365</v>
      </c>
      <c r="G820" s="2091" t="s">
        <v>3246</v>
      </c>
      <c r="H820" s="2091" t="s">
        <v>24</v>
      </c>
      <c r="I820" s="2091" t="s">
        <v>752</v>
      </c>
    </row>
    <row r="821" spans="1:9" ht="11.25" customHeight="1">
      <c r="A821" s="2091" t="s">
        <v>2181</v>
      </c>
      <c r="B821" s="2091" t="s">
        <v>14</v>
      </c>
      <c r="C821" s="2091" t="s">
        <v>3668</v>
      </c>
      <c r="D821" s="2091" t="s">
        <v>3669</v>
      </c>
      <c r="E821" s="2091" t="s">
        <v>3670</v>
      </c>
      <c r="F821" s="2091" t="s">
        <v>2226</v>
      </c>
      <c r="G821" s="2091" t="s">
        <v>24</v>
      </c>
      <c r="H821" s="2091" t="s">
        <v>24</v>
      </c>
      <c r="I821" s="2091" t="s">
        <v>752</v>
      </c>
    </row>
    <row r="822" spans="1:9" ht="11.25" customHeight="1">
      <c r="A822" s="2091" t="s">
        <v>2181</v>
      </c>
      <c r="B822" s="2091" t="s">
        <v>14</v>
      </c>
      <c r="C822" s="2091" t="s">
        <v>3253</v>
      </c>
      <c r="D822" s="2091" t="s">
        <v>3254</v>
      </c>
      <c r="E822" s="2091" t="s">
        <v>3255</v>
      </c>
      <c r="F822" s="2091" t="s">
        <v>2273</v>
      </c>
      <c r="G822" s="2091" t="s">
        <v>24</v>
      </c>
      <c r="H822" s="2091" t="s">
        <v>24</v>
      </c>
      <c r="I822" s="2091" t="s">
        <v>752</v>
      </c>
    </row>
    <row r="823" spans="1:9" ht="11.25" customHeight="1">
      <c r="A823" s="2091" t="s">
        <v>2181</v>
      </c>
      <c r="B823" s="2091" t="s">
        <v>14</v>
      </c>
      <c r="C823" s="2091" t="s">
        <v>3671</v>
      </c>
      <c r="D823" s="2091" t="s">
        <v>3672</v>
      </c>
      <c r="E823" s="2091" t="s">
        <v>3673</v>
      </c>
      <c r="F823" s="2091" t="s">
        <v>2293</v>
      </c>
      <c r="G823" s="2091" t="s">
        <v>24</v>
      </c>
      <c r="H823" s="2091" t="s">
        <v>24</v>
      </c>
      <c r="I823" s="2091" t="s">
        <v>752</v>
      </c>
    </row>
    <row r="824" spans="1:9" ht="11.25" customHeight="1">
      <c r="A824" s="2091" t="s">
        <v>2181</v>
      </c>
      <c r="B824" s="2091" t="s">
        <v>14</v>
      </c>
      <c r="C824" s="2091" t="s">
        <v>3262</v>
      </c>
      <c r="D824" s="2091" t="s">
        <v>3263</v>
      </c>
      <c r="E824" s="2091" t="s">
        <v>3264</v>
      </c>
      <c r="F824" s="2091" t="s">
        <v>2343</v>
      </c>
      <c r="G824" s="2091" t="s">
        <v>24</v>
      </c>
      <c r="H824" s="2091" t="s">
        <v>24</v>
      </c>
      <c r="I824" s="2091" t="s">
        <v>752</v>
      </c>
    </row>
    <row r="825" spans="1:9" ht="11.25" customHeight="1">
      <c r="A825" s="2091" t="s">
        <v>2181</v>
      </c>
      <c r="B825" s="2091" t="s">
        <v>14</v>
      </c>
      <c r="C825" s="2091" t="s">
        <v>3674</v>
      </c>
      <c r="D825" s="2091" t="s">
        <v>3675</v>
      </c>
      <c r="E825" s="2091" t="s">
        <v>3676</v>
      </c>
      <c r="F825" s="2091" t="s">
        <v>2365</v>
      </c>
      <c r="G825" s="2091" t="s">
        <v>24</v>
      </c>
      <c r="H825" s="2091" t="s">
        <v>24</v>
      </c>
      <c r="I825" s="2091" t="s">
        <v>752</v>
      </c>
    </row>
    <row r="826" spans="1:9" ht="11.25" customHeight="1">
      <c r="A826" s="2091" t="s">
        <v>2181</v>
      </c>
      <c r="B826" s="2091" t="s">
        <v>14</v>
      </c>
      <c r="C826" s="2091" t="s">
        <v>3268</v>
      </c>
      <c r="D826" s="2091" t="s">
        <v>3269</v>
      </c>
      <c r="E826" s="2091" t="s">
        <v>3270</v>
      </c>
      <c r="F826" s="2091" t="s">
        <v>2578</v>
      </c>
      <c r="G826" s="2091" t="s">
        <v>24</v>
      </c>
      <c r="H826" s="2091" t="s">
        <v>24</v>
      </c>
      <c r="I826" s="2091" t="s">
        <v>752</v>
      </c>
    </row>
    <row r="827" spans="1:9" ht="11.25" customHeight="1">
      <c r="A827" s="2091" t="s">
        <v>2181</v>
      </c>
      <c r="B827" s="2091" t="s">
        <v>14</v>
      </c>
      <c r="C827" s="2091" t="s">
        <v>3677</v>
      </c>
      <c r="D827" s="2091" t="s">
        <v>3678</v>
      </c>
      <c r="E827" s="2091" t="s">
        <v>3679</v>
      </c>
      <c r="F827" s="2091" t="s">
        <v>2278</v>
      </c>
      <c r="G827" s="2091" t="s">
        <v>3680</v>
      </c>
      <c r="H827" s="2091" t="s">
        <v>24</v>
      </c>
      <c r="I827" s="2091" t="s">
        <v>752</v>
      </c>
    </row>
    <row r="828" spans="1:9" ht="11.25" customHeight="1">
      <c r="A828" s="2091" t="s">
        <v>2181</v>
      </c>
      <c r="B828" s="2091" t="s">
        <v>14</v>
      </c>
      <c r="C828" s="2091" t="s">
        <v>3681</v>
      </c>
      <c r="D828" s="2091" t="s">
        <v>3682</v>
      </c>
      <c r="E828" s="2091" t="s">
        <v>3683</v>
      </c>
      <c r="F828" s="2091" t="s">
        <v>2293</v>
      </c>
      <c r="G828" s="2091" t="s">
        <v>24</v>
      </c>
      <c r="H828" s="2091" t="s">
        <v>24</v>
      </c>
      <c r="I828" s="2091" t="s">
        <v>752</v>
      </c>
    </row>
    <row r="829" spans="1:9" ht="11.25" customHeight="1">
      <c r="A829" s="2091" t="s">
        <v>2181</v>
      </c>
      <c r="B829" s="2091" t="s">
        <v>14</v>
      </c>
      <c r="C829" s="2091" t="s">
        <v>3684</v>
      </c>
      <c r="D829" s="2091" t="s">
        <v>3685</v>
      </c>
      <c r="E829" s="2091" t="s">
        <v>3686</v>
      </c>
      <c r="F829" s="2091" t="s">
        <v>2260</v>
      </c>
      <c r="G829" s="2091" t="s">
        <v>24</v>
      </c>
      <c r="H829" s="2091" t="s">
        <v>24</v>
      </c>
      <c r="I829" s="2091" t="s">
        <v>752</v>
      </c>
    </row>
    <row r="830" spans="1:9" ht="11.25" customHeight="1">
      <c r="A830" s="2091" t="s">
        <v>2181</v>
      </c>
      <c r="B830" s="2091" t="s">
        <v>14</v>
      </c>
      <c r="C830" s="2091" t="s">
        <v>3286</v>
      </c>
      <c r="D830" s="2091" t="s">
        <v>46</v>
      </c>
      <c r="E830" s="2091" t="s">
        <v>49</v>
      </c>
      <c r="F830" s="2091" t="s">
        <v>51</v>
      </c>
      <c r="G830" s="2091" t="s">
        <v>2190</v>
      </c>
      <c r="H830" s="2091" t="s">
        <v>24</v>
      </c>
      <c r="I830" s="2091" t="s">
        <v>752</v>
      </c>
    </row>
    <row r="831" spans="1:9" ht="11.25" customHeight="1">
      <c r="A831" s="2091" t="s">
        <v>2181</v>
      </c>
      <c r="B831" s="2091" t="s">
        <v>14</v>
      </c>
      <c r="C831" s="2091" t="s">
        <v>3687</v>
      </c>
      <c r="D831" s="2091" t="s">
        <v>3688</v>
      </c>
      <c r="E831" s="2091" t="s">
        <v>3689</v>
      </c>
      <c r="F831" s="2091" t="s">
        <v>2405</v>
      </c>
      <c r="G831" s="2091" t="s">
        <v>24</v>
      </c>
      <c r="H831" s="2091" t="s">
        <v>24</v>
      </c>
      <c r="I831" s="2091" t="s">
        <v>752</v>
      </c>
    </row>
    <row r="832" spans="1:9" ht="11.25" customHeight="1">
      <c r="A832" s="2091" t="s">
        <v>2181</v>
      </c>
      <c r="B832" s="2091" t="s">
        <v>14</v>
      </c>
      <c r="C832" s="2091" t="s">
        <v>3690</v>
      </c>
      <c r="D832" s="2091" t="s">
        <v>3691</v>
      </c>
      <c r="E832" s="2091" t="s">
        <v>3692</v>
      </c>
      <c r="F832" s="2091" t="s">
        <v>2405</v>
      </c>
      <c r="G832" s="2091" t="s">
        <v>24</v>
      </c>
      <c r="H832" s="2091" t="s">
        <v>24</v>
      </c>
      <c r="I832" s="2091" t="s">
        <v>752</v>
      </c>
    </row>
    <row r="833" spans="1:9" ht="11.25" customHeight="1">
      <c r="A833" s="2091" t="s">
        <v>2181</v>
      </c>
      <c r="B833" s="2091" t="s">
        <v>14</v>
      </c>
      <c r="C833" s="2091" t="s">
        <v>3693</v>
      </c>
      <c r="D833" s="2091" t="s">
        <v>3694</v>
      </c>
      <c r="E833" s="2091" t="s">
        <v>3695</v>
      </c>
      <c r="F833" s="2091" t="s">
        <v>2405</v>
      </c>
      <c r="G833" s="2091" t="s">
        <v>24</v>
      </c>
      <c r="H833" s="2091" t="s">
        <v>24</v>
      </c>
      <c r="I833" s="2091" t="s">
        <v>752</v>
      </c>
    </row>
    <row r="834" spans="1:9" ht="11.25" customHeight="1">
      <c r="A834" s="2091" t="s">
        <v>2181</v>
      </c>
      <c r="B834" s="2091" t="s">
        <v>14</v>
      </c>
      <c r="C834" s="2091" t="s">
        <v>3696</v>
      </c>
      <c r="D834" s="2091" t="s">
        <v>3697</v>
      </c>
      <c r="E834" s="2091" t="s">
        <v>3698</v>
      </c>
      <c r="F834" s="2091" t="s">
        <v>2405</v>
      </c>
      <c r="G834" s="2091" t="s">
        <v>24</v>
      </c>
      <c r="H834" s="2091" t="s">
        <v>24</v>
      </c>
      <c r="I834" s="2091" t="s">
        <v>752</v>
      </c>
    </row>
    <row r="835" spans="1:9" ht="11.25" customHeight="1">
      <c r="A835" s="2091" t="s">
        <v>2181</v>
      </c>
      <c r="B835" s="2091" t="s">
        <v>14</v>
      </c>
      <c r="C835" s="2091" t="s">
        <v>3699</v>
      </c>
      <c r="D835" s="2091" t="s">
        <v>3700</v>
      </c>
      <c r="E835" s="2091" t="s">
        <v>3701</v>
      </c>
      <c r="F835" s="2091" t="s">
        <v>2405</v>
      </c>
      <c r="G835" s="2091" t="s">
        <v>24</v>
      </c>
      <c r="H835" s="2091" t="s">
        <v>24</v>
      </c>
      <c r="I835" s="2091" t="s">
        <v>752</v>
      </c>
    </row>
    <row r="836" spans="1:9" ht="11.25" customHeight="1">
      <c r="A836" s="2091" t="s">
        <v>2181</v>
      </c>
      <c r="B836" s="2091" t="s">
        <v>14</v>
      </c>
      <c r="C836" s="2091" t="s">
        <v>3702</v>
      </c>
      <c r="D836" s="2091" t="s">
        <v>3703</v>
      </c>
      <c r="E836" s="2091" t="s">
        <v>3704</v>
      </c>
      <c r="F836" s="2091" t="s">
        <v>2405</v>
      </c>
      <c r="G836" s="2091" t="s">
        <v>24</v>
      </c>
      <c r="H836" s="2091" t="s">
        <v>24</v>
      </c>
      <c r="I836" s="2091" t="s">
        <v>752</v>
      </c>
    </row>
    <row r="837" spans="1:9" ht="11.25" customHeight="1">
      <c r="A837" s="2091" t="s">
        <v>2181</v>
      </c>
      <c r="B837" s="2091" t="s">
        <v>14</v>
      </c>
      <c r="C837" s="2091" t="s">
        <v>3705</v>
      </c>
      <c r="D837" s="2091" t="s">
        <v>3706</v>
      </c>
      <c r="E837" s="2091" t="s">
        <v>3707</v>
      </c>
      <c r="F837" s="2091" t="s">
        <v>2405</v>
      </c>
      <c r="G837" s="2091" t="s">
        <v>24</v>
      </c>
      <c r="H837" s="2091" t="s">
        <v>24</v>
      </c>
      <c r="I837" s="2091" t="s">
        <v>752</v>
      </c>
    </row>
    <row r="838" spans="1:9" ht="11.25" customHeight="1">
      <c r="A838" s="2091" t="s">
        <v>2181</v>
      </c>
      <c r="B838" s="2091" t="s">
        <v>14</v>
      </c>
      <c r="C838" s="2091" t="s">
        <v>3708</v>
      </c>
      <c r="D838" s="2091" t="s">
        <v>3709</v>
      </c>
      <c r="E838" s="2091" t="s">
        <v>3710</v>
      </c>
      <c r="F838" s="2091" t="s">
        <v>2405</v>
      </c>
      <c r="G838" s="2091" t="s">
        <v>24</v>
      </c>
      <c r="H838" s="2091" t="s">
        <v>24</v>
      </c>
      <c r="I838" s="2091" t="s">
        <v>752</v>
      </c>
    </row>
    <row r="839" spans="1:9" ht="11.25" customHeight="1">
      <c r="A839" s="2091" t="s">
        <v>2181</v>
      </c>
      <c r="B839" s="2091" t="s">
        <v>14</v>
      </c>
      <c r="C839" s="2091" t="s">
        <v>3711</v>
      </c>
      <c r="D839" s="2091" t="s">
        <v>3712</v>
      </c>
      <c r="E839" s="2091" t="s">
        <v>3713</v>
      </c>
      <c r="F839" s="2091" t="s">
        <v>2405</v>
      </c>
      <c r="G839" s="2091" t="s">
        <v>24</v>
      </c>
      <c r="H839" s="2091" t="s">
        <v>24</v>
      </c>
      <c r="I839" s="2091" t="s">
        <v>752</v>
      </c>
    </row>
    <row r="840" spans="1:9" ht="11.25" customHeight="1">
      <c r="A840" s="2091" t="s">
        <v>2181</v>
      </c>
      <c r="B840" s="2091" t="s">
        <v>14</v>
      </c>
      <c r="C840" s="2091" t="s">
        <v>3714</v>
      </c>
      <c r="D840" s="2091" t="s">
        <v>3715</v>
      </c>
      <c r="E840" s="2091" t="s">
        <v>3716</v>
      </c>
      <c r="F840" s="2091" t="s">
        <v>2405</v>
      </c>
      <c r="G840" s="2091" t="s">
        <v>24</v>
      </c>
      <c r="H840" s="2091" t="s">
        <v>24</v>
      </c>
      <c r="I840" s="2091" t="s">
        <v>752</v>
      </c>
    </row>
    <row r="841" spans="1:9" ht="11.25" customHeight="1">
      <c r="A841" s="2091" t="s">
        <v>2181</v>
      </c>
      <c r="B841" s="2091" t="s">
        <v>14</v>
      </c>
      <c r="C841" s="2091" t="s">
        <v>3308</v>
      </c>
      <c r="D841" s="2091" t="s">
        <v>3309</v>
      </c>
      <c r="E841" s="2091" t="s">
        <v>3310</v>
      </c>
      <c r="F841" s="2091" t="s">
        <v>2424</v>
      </c>
      <c r="G841" s="2091" t="s">
        <v>3311</v>
      </c>
      <c r="H841" s="2091" t="s">
        <v>24</v>
      </c>
      <c r="I841" s="2091" t="s">
        <v>752</v>
      </c>
    </row>
    <row r="842" spans="1:9" ht="11.25" customHeight="1">
      <c r="A842" s="2091" t="s">
        <v>2181</v>
      </c>
      <c r="B842" s="2091" t="s">
        <v>14</v>
      </c>
      <c r="C842" s="2091" t="s">
        <v>3312</v>
      </c>
      <c r="D842" s="2091" t="s">
        <v>3313</v>
      </c>
      <c r="E842" s="2091" t="s">
        <v>3314</v>
      </c>
      <c r="F842" s="2091" t="s">
        <v>2222</v>
      </c>
      <c r="G842" s="2091" t="s">
        <v>3315</v>
      </c>
      <c r="H842" s="2091" t="s">
        <v>24</v>
      </c>
      <c r="I842" s="2091" t="s">
        <v>752</v>
      </c>
    </row>
    <row r="843" spans="1:9" ht="11.25" customHeight="1">
      <c r="A843" s="2091" t="s">
        <v>2181</v>
      </c>
      <c r="B843" s="2091" t="s">
        <v>14</v>
      </c>
      <c r="C843" s="2091" t="s">
        <v>3316</v>
      </c>
      <c r="D843" s="2091" t="s">
        <v>3317</v>
      </c>
      <c r="E843" s="2091" t="s">
        <v>3318</v>
      </c>
      <c r="F843" s="2091" t="s">
        <v>3319</v>
      </c>
      <c r="G843" s="2091" t="s">
        <v>24</v>
      </c>
      <c r="H843" s="2091" t="s">
        <v>24</v>
      </c>
      <c r="I843" s="2091" t="s">
        <v>752</v>
      </c>
    </row>
    <row r="844" spans="1:9" ht="11.25" customHeight="1">
      <c r="A844" s="2091" t="s">
        <v>2181</v>
      </c>
      <c r="B844" s="2091" t="s">
        <v>14</v>
      </c>
      <c r="C844" s="2091" t="s">
        <v>3326</v>
      </c>
      <c r="D844" s="2091" t="s">
        <v>3327</v>
      </c>
      <c r="E844" s="2091" t="s">
        <v>3328</v>
      </c>
      <c r="F844" s="2091" t="s">
        <v>2218</v>
      </c>
      <c r="G844" s="2091" t="s">
        <v>3329</v>
      </c>
      <c r="H844" s="2091" t="s">
        <v>24</v>
      </c>
      <c r="I844" s="2091" t="s">
        <v>752</v>
      </c>
    </row>
    <row r="845" spans="1:9" ht="11.25" customHeight="1">
      <c r="A845" s="2091" t="s">
        <v>2181</v>
      </c>
      <c r="B845" s="2091" t="s">
        <v>14</v>
      </c>
      <c r="C845" s="2091" t="s">
        <v>3342</v>
      </c>
      <c r="D845" s="2091" t="s">
        <v>3343</v>
      </c>
      <c r="E845" s="2091" t="s">
        <v>3306</v>
      </c>
      <c r="F845" s="2091" t="s">
        <v>3344</v>
      </c>
      <c r="G845" s="2091" t="s">
        <v>24</v>
      </c>
      <c r="H845" s="2091" t="s">
        <v>24</v>
      </c>
      <c r="I845" s="2091" t="s">
        <v>752</v>
      </c>
    </row>
    <row r="846" spans="1:9" ht="11.25" customHeight="1">
      <c r="A846" s="2091" t="s">
        <v>2181</v>
      </c>
      <c r="B846" s="2091" t="s">
        <v>14</v>
      </c>
      <c r="C846" s="2091" t="s">
        <v>3345</v>
      </c>
      <c r="D846" s="2091" t="s">
        <v>3346</v>
      </c>
      <c r="E846" s="2091" t="s">
        <v>2229</v>
      </c>
      <c r="F846" s="2091" t="s">
        <v>2401</v>
      </c>
      <c r="G846" s="2091" t="s">
        <v>3347</v>
      </c>
      <c r="H846" s="2091" t="s">
        <v>24</v>
      </c>
      <c r="I846" s="2091" t="s">
        <v>752</v>
      </c>
    </row>
    <row r="847" spans="1:9" ht="11.25" customHeight="1">
      <c r="A847" s="2091" t="s">
        <v>2181</v>
      </c>
      <c r="B847" s="2091" t="s">
        <v>14</v>
      </c>
      <c r="C847" s="2091" t="s">
        <v>3717</v>
      </c>
      <c r="D847" s="2091" t="s">
        <v>3718</v>
      </c>
      <c r="E847" s="2091" t="s">
        <v>3719</v>
      </c>
      <c r="F847" s="2091" t="s">
        <v>2405</v>
      </c>
      <c r="G847" s="2091" t="s">
        <v>24</v>
      </c>
      <c r="H847" s="2091" t="s">
        <v>24</v>
      </c>
      <c r="I847" s="2091" t="s">
        <v>752</v>
      </c>
    </row>
    <row r="848" spans="1:9" ht="11.25" customHeight="1">
      <c r="A848" s="2091" t="s">
        <v>2181</v>
      </c>
      <c r="B848" s="2091" t="s">
        <v>14</v>
      </c>
      <c r="C848" s="2091" t="s">
        <v>3720</v>
      </c>
      <c r="D848" s="2091" t="s">
        <v>3721</v>
      </c>
      <c r="E848" s="2091" t="s">
        <v>3722</v>
      </c>
      <c r="F848" s="2091" t="s">
        <v>2578</v>
      </c>
      <c r="G848" s="2091" t="s">
        <v>24</v>
      </c>
      <c r="H848" s="2091" t="s">
        <v>24</v>
      </c>
      <c r="I848" s="2091" t="s">
        <v>752</v>
      </c>
    </row>
    <row r="849" spans="1:9" ht="11.25" customHeight="1">
      <c r="A849" s="2091" t="s">
        <v>2181</v>
      </c>
      <c r="B849" s="2091" t="s">
        <v>14</v>
      </c>
      <c r="C849" s="2091" t="s">
        <v>3723</v>
      </c>
      <c r="D849" s="2091" t="s">
        <v>3724</v>
      </c>
      <c r="E849" s="2091" t="s">
        <v>3679</v>
      </c>
      <c r="F849" s="2091" t="s">
        <v>3725</v>
      </c>
      <c r="G849" s="2091" t="s">
        <v>24</v>
      </c>
      <c r="H849" s="2091" t="s">
        <v>24</v>
      </c>
      <c r="I849" s="2091" t="s">
        <v>804</v>
      </c>
    </row>
    <row r="850" spans="1:9" ht="11.25" customHeight="1">
      <c r="A850" s="2091" t="s">
        <v>2181</v>
      </c>
      <c r="B850" s="2091" t="s">
        <v>14</v>
      </c>
      <c r="C850" s="2091" t="s">
        <v>2182</v>
      </c>
      <c r="D850" s="2091" t="s">
        <v>2183</v>
      </c>
      <c r="E850" s="2091" t="s">
        <v>2184</v>
      </c>
      <c r="F850" s="2091" t="s">
        <v>2185</v>
      </c>
      <c r="G850" s="2091" t="s">
        <v>24</v>
      </c>
      <c r="H850" s="2091" t="s">
        <v>24</v>
      </c>
      <c r="I850" s="2091" t="s">
        <v>804</v>
      </c>
    </row>
    <row r="851" spans="1:9" ht="11.25" customHeight="1">
      <c r="A851" s="2091" t="s">
        <v>2181</v>
      </c>
      <c r="B851" s="2091" t="s">
        <v>14</v>
      </c>
      <c r="C851" s="2091" t="s">
        <v>2186</v>
      </c>
      <c r="D851" s="2091" t="s">
        <v>2187</v>
      </c>
      <c r="E851" s="2091" t="s">
        <v>2188</v>
      </c>
      <c r="F851" s="2091" t="s">
        <v>2189</v>
      </c>
      <c r="G851" s="2091" t="s">
        <v>2190</v>
      </c>
      <c r="H851" s="2091" t="s">
        <v>24</v>
      </c>
      <c r="I851" s="2091" t="s">
        <v>804</v>
      </c>
    </row>
    <row r="852" spans="1:9" ht="11.25" customHeight="1">
      <c r="A852" s="2091" t="s">
        <v>2181</v>
      </c>
      <c r="B852" s="2091" t="s">
        <v>14</v>
      </c>
      <c r="C852" s="2091" t="s">
        <v>2195</v>
      </c>
      <c r="D852" s="2091" t="s">
        <v>2196</v>
      </c>
      <c r="E852" s="2091" t="s">
        <v>2197</v>
      </c>
      <c r="F852" s="2091" t="s">
        <v>2198</v>
      </c>
      <c r="G852" s="2091" t="s">
        <v>2199</v>
      </c>
      <c r="H852" s="2091" t="s">
        <v>24</v>
      </c>
      <c r="I852" s="2091" t="s">
        <v>804</v>
      </c>
    </row>
    <row r="853" spans="1:9" ht="11.25" customHeight="1">
      <c r="A853" s="2091" t="s">
        <v>2181</v>
      </c>
      <c r="B853" s="2091" t="s">
        <v>14</v>
      </c>
      <c r="C853" s="2091" t="s">
        <v>2200</v>
      </c>
      <c r="D853" s="2091" t="s">
        <v>2201</v>
      </c>
      <c r="E853" s="2091" t="s">
        <v>2202</v>
      </c>
      <c r="F853" s="2091" t="s">
        <v>2203</v>
      </c>
      <c r="G853" s="2091" t="s">
        <v>2204</v>
      </c>
      <c r="H853" s="2091" t="s">
        <v>24</v>
      </c>
      <c r="I853" s="2091" t="s">
        <v>804</v>
      </c>
    </row>
    <row r="854" spans="1:9" ht="11.25" customHeight="1">
      <c r="A854" s="2091" t="s">
        <v>2181</v>
      </c>
      <c r="B854" s="2091" t="s">
        <v>14</v>
      </c>
      <c r="C854" s="2091" t="s">
        <v>3726</v>
      </c>
      <c r="D854" s="2091" t="s">
        <v>3727</v>
      </c>
      <c r="E854" s="2091" t="s">
        <v>3728</v>
      </c>
      <c r="F854" s="2091" t="s">
        <v>2610</v>
      </c>
      <c r="G854" s="2091" t="s">
        <v>24</v>
      </c>
      <c r="H854" s="2091" t="s">
        <v>24</v>
      </c>
      <c r="I854" s="2091" t="s">
        <v>804</v>
      </c>
    </row>
    <row r="855" spans="1:9" ht="11.25" customHeight="1">
      <c r="A855" s="2091" t="s">
        <v>2181</v>
      </c>
      <c r="B855" s="2091" t="s">
        <v>14</v>
      </c>
      <c r="C855" s="2091" t="s">
        <v>2210</v>
      </c>
      <c r="D855" s="2091" t="s">
        <v>2211</v>
      </c>
      <c r="E855" s="2091" t="s">
        <v>2212</v>
      </c>
      <c r="F855" s="2091" t="s">
        <v>2213</v>
      </c>
      <c r="G855" s="2091" t="s">
        <v>2214</v>
      </c>
      <c r="H855" s="2091" t="s">
        <v>24</v>
      </c>
      <c r="I855" s="2091" t="s">
        <v>804</v>
      </c>
    </row>
    <row r="856" spans="1:9" ht="11.25" customHeight="1">
      <c r="A856" s="2091" t="s">
        <v>2181</v>
      </c>
      <c r="B856" s="2091" t="s">
        <v>14</v>
      </c>
      <c r="C856" s="2091" t="s">
        <v>2215</v>
      </c>
      <c r="D856" s="2091" t="s">
        <v>2216</v>
      </c>
      <c r="E856" s="2091" t="s">
        <v>2217</v>
      </c>
      <c r="F856" s="2091" t="s">
        <v>2218</v>
      </c>
      <c r="G856" s="2091" t="s">
        <v>24</v>
      </c>
      <c r="H856" s="2091" t="s">
        <v>24</v>
      </c>
      <c r="I856" s="2091" t="s">
        <v>804</v>
      </c>
    </row>
    <row r="857" spans="1:9" ht="11.25" customHeight="1">
      <c r="A857" s="2091" t="s">
        <v>2181</v>
      </c>
      <c r="B857" s="2091" t="s">
        <v>14</v>
      </c>
      <c r="C857" s="2091" t="s">
        <v>2223</v>
      </c>
      <c r="D857" s="2091" t="s">
        <v>2224</v>
      </c>
      <c r="E857" s="2091" t="s">
        <v>2225</v>
      </c>
      <c r="F857" s="2091" t="s">
        <v>2226</v>
      </c>
      <c r="G857" s="2091" t="s">
        <v>24</v>
      </c>
      <c r="H857" s="2091" t="s">
        <v>24</v>
      </c>
      <c r="I857" s="2091" t="s">
        <v>804</v>
      </c>
    </row>
    <row r="858" spans="1:9" ht="11.25" customHeight="1">
      <c r="A858" s="2091" t="s">
        <v>2181</v>
      </c>
      <c r="B858" s="2091" t="s">
        <v>14</v>
      </c>
      <c r="C858" s="2091" t="s">
        <v>2227</v>
      </c>
      <c r="D858" s="2091" t="s">
        <v>2228</v>
      </c>
      <c r="E858" s="2091" t="s">
        <v>2229</v>
      </c>
      <c r="F858" s="2091" t="s">
        <v>2222</v>
      </c>
      <c r="G858" s="2091" t="s">
        <v>2230</v>
      </c>
      <c r="H858" s="2091" t="s">
        <v>24</v>
      </c>
      <c r="I858" s="2091" t="s">
        <v>804</v>
      </c>
    </row>
    <row r="859" spans="1:9" ht="11.25" customHeight="1">
      <c r="A859" s="2091" t="s">
        <v>2181</v>
      </c>
      <c r="B859" s="2091" t="s">
        <v>14</v>
      </c>
      <c r="C859" s="2091" t="s">
        <v>2231</v>
      </c>
      <c r="D859" s="2091" t="s">
        <v>2232</v>
      </c>
      <c r="E859" s="2091" t="s">
        <v>2233</v>
      </c>
      <c r="F859" s="2091" t="s">
        <v>2185</v>
      </c>
      <c r="G859" s="2091" t="s">
        <v>2234</v>
      </c>
      <c r="H859" s="2091" t="s">
        <v>2235</v>
      </c>
      <c r="I859" s="2091" t="s">
        <v>804</v>
      </c>
    </row>
    <row r="860" spans="1:9" ht="11.25" customHeight="1">
      <c r="A860" s="2091" t="s">
        <v>2181</v>
      </c>
      <c r="B860" s="2091" t="s">
        <v>14</v>
      </c>
      <c r="C860" s="2091" t="s">
        <v>2236</v>
      </c>
      <c r="D860" s="2091" t="s">
        <v>2237</v>
      </c>
      <c r="E860" s="2091" t="s">
        <v>2238</v>
      </c>
      <c r="F860" s="2091" t="s">
        <v>2239</v>
      </c>
      <c r="G860" s="2091" t="s">
        <v>24</v>
      </c>
      <c r="H860" s="2091" t="s">
        <v>24</v>
      </c>
      <c r="I860" s="2091" t="s">
        <v>804</v>
      </c>
    </row>
    <row r="861" spans="1:9" ht="11.25" customHeight="1">
      <c r="A861" s="2091" t="s">
        <v>2181</v>
      </c>
      <c r="B861" s="2091" t="s">
        <v>14</v>
      </c>
      <c r="C861" s="2091" t="s">
        <v>2240</v>
      </c>
      <c r="D861" s="2091" t="s">
        <v>2241</v>
      </c>
      <c r="E861" s="2091" t="s">
        <v>2238</v>
      </c>
      <c r="F861" s="2091" t="s">
        <v>2242</v>
      </c>
      <c r="G861" s="2091" t="s">
        <v>2243</v>
      </c>
      <c r="H861" s="2091" t="s">
        <v>24</v>
      </c>
      <c r="I861" s="2091" t="s">
        <v>804</v>
      </c>
    </row>
    <row r="862" spans="1:9" ht="11.25" customHeight="1">
      <c r="A862" s="2091" t="s">
        <v>2181</v>
      </c>
      <c r="B862" s="2091" t="s">
        <v>14</v>
      </c>
      <c r="C862" s="2091" t="s">
        <v>2247</v>
      </c>
      <c r="D862" s="2091" t="s">
        <v>2248</v>
      </c>
      <c r="E862" s="2091" t="s">
        <v>2249</v>
      </c>
      <c r="F862" s="2091" t="s">
        <v>2250</v>
      </c>
      <c r="G862" s="2091" t="s">
        <v>2251</v>
      </c>
      <c r="H862" s="2091" t="s">
        <v>24</v>
      </c>
      <c r="I862" s="2091" t="s">
        <v>804</v>
      </c>
    </row>
    <row r="863" spans="1:9" ht="11.25" customHeight="1">
      <c r="A863" s="2091" t="s">
        <v>2181</v>
      </c>
      <c r="B863" s="2091" t="s">
        <v>14</v>
      </c>
      <c r="C863" s="2091" t="s">
        <v>2252</v>
      </c>
      <c r="D863" s="2091" t="s">
        <v>2253</v>
      </c>
      <c r="E863" s="2091" t="s">
        <v>2254</v>
      </c>
      <c r="F863" s="2091" t="s">
        <v>2255</v>
      </c>
      <c r="G863" s="2091" t="s">
        <v>2256</v>
      </c>
      <c r="H863" s="2091" t="s">
        <v>24</v>
      </c>
      <c r="I863" s="2091" t="s">
        <v>804</v>
      </c>
    </row>
    <row r="864" spans="1:9" ht="11.25" customHeight="1">
      <c r="A864" s="2091" t="s">
        <v>2181</v>
      </c>
      <c r="B864" s="2091" t="s">
        <v>14</v>
      </c>
      <c r="C864" s="2091" t="s">
        <v>2257</v>
      </c>
      <c r="D864" s="2091" t="s">
        <v>2258</v>
      </c>
      <c r="E864" s="2091" t="s">
        <v>2259</v>
      </c>
      <c r="F864" s="2091" t="s">
        <v>2260</v>
      </c>
      <c r="G864" s="2091" t="s">
        <v>2261</v>
      </c>
      <c r="H864" s="2091" t="s">
        <v>24</v>
      </c>
      <c r="I864" s="2091" t="s">
        <v>804</v>
      </c>
    </row>
    <row r="865" spans="1:9" ht="11.25" customHeight="1">
      <c r="A865" s="2091" t="s">
        <v>2181</v>
      </c>
      <c r="B865" s="2091" t="s">
        <v>14</v>
      </c>
      <c r="C865" s="2091" t="s">
        <v>2265</v>
      </c>
      <c r="D865" s="2091" t="s">
        <v>2266</v>
      </c>
      <c r="E865" s="2091" t="s">
        <v>2267</v>
      </c>
      <c r="F865" s="2091" t="s">
        <v>2268</v>
      </c>
      <c r="G865" s="2091" t="s">
        <v>2269</v>
      </c>
      <c r="H865" s="2091" t="s">
        <v>24</v>
      </c>
      <c r="I865" s="2091" t="s">
        <v>804</v>
      </c>
    </row>
    <row r="866" spans="1:9" ht="11.25" customHeight="1">
      <c r="A866" s="2091" t="s">
        <v>2181</v>
      </c>
      <c r="B866" s="2091" t="s">
        <v>14</v>
      </c>
      <c r="C866" s="2091" t="s">
        <v>2270</v>
      </c>
      <c r="D866" s="2091" t="s">
        <v>2271</v>
      </c>
      <c r="E866" s="2091" t="s">
        <v>2272</v>
      </c>
      <c r="F866" s="2091" t="s">
        <v>2273</v>
      </c>
      <c r="G866" s="2091" t="s">
        <v>2274</v>
      </c>
      <c r="H866" s="2091" t="s">
        <v>24</v>
      </c>
      <c r="I866" s="2091" t="s">
        <v>804</v>
      </c>
    </row>
    <row r="867" spans="1:9" ht="11.25" customHeight="1">
      <c r="A867" s="2091" t="s">
        <v>2181</v>
      </c>
      <c r="B867" s="2091" t="s">
        <v>14</v>
      </c>
      <c r="C867" s="2091" t="s">
        <v>2275</v>
      </c>
      <c r="D867" s="2091" t="s">
        <v>2276</v>
      </c>
      <c r="E867" s="2091" t="s">
        <v>2277</v>
      </c>
      <c r="F867" s="2091" t="s">
        <v>2278</v>
      </c>
      <c r="G867" s="2091" t="s">
        <v>2279</v>
      </c>
      <c r="H867" s="2091" t="s">
        <v>24</v>
      </c>
      <c r="I867" s="2091" t="s">
        <v>804</v>
      </c>
    </row>
    <row r="868" spans="1:9" ht="11.25" customHeight="1">
      <c r="A868" s="2091" t="s">
        <v>2181</v>
      </c>
      <c r="B868" s="2091" t="s">
        <v>14</v>
      </c>
      <c r="C868" s="2091" t="s">
        <v>3729</v>
      </c>
      <c r="D868" s="2091" t="s">
        <v>3730</v>
      </c>
      <c r="E868" s="2091" t="s">
        <v>3731</v>
      </c>
      <c r="F868" s="2091" t="s">
        <v>2468</v>
      </c>
      <c r="G868" s="2091" t="s">
        <v>24</v>
      </c>
      <c r="H868" s="2091" t="s">
        <v>24</v>
      </c>
      <c r="I868" s="2091" t="s">
        <v>804</v>
      </c>
    </row>
    <row r="869" spans="1:9" ht="11.25" customHeight="1">
      <c r="A869" s="2091" t="s">
        <v>2181</v>
      </c>
      <c r="B869" s="2091" t="s">
        <v>14</v>
      </c>
      <c r="C869" s="2091" t="s">
        <v>2294</v>
      </c>
      <c r="D869" s="2091" t="s">
        <v>2295</v>
      </c>
      <c r="E869" s="2091" t="s">
        <v>2296</v>
      </c>
      <c r="F869" s="2091" t="s">
        <v>2297</v>
      </c>
      <c r="G869" s="2091" t="s">
        <v>24</v>
      </c>
      <c r="H869" s="2091" t="s">
        <v>24</v>
      </c>
      <c r="I869" s="2091" t="s">
        <v>804</v>
      </c>
    </row>
    <row r="870" spans="1:9" ht="11.25" customHeight="1">
      <c r="A870" s="2091" t="s">
        <v>2181</v>
      </c>
      <c r="B870" s="2091" t="s">
        <v>14</v>
      </c>
      <c r="C870" s="2091" t="s">
        <v>2304</v>
      </c>
      <c r="D870" s="2091" t="s">
        <v>2305</v>
      </c>
      <c r="E870" s="2091" t="s">
        <v>2296</v>
      </c>
      <c r="F870" s="2091" t="s">
        <v>2306</v>
      </c>
      <c r="G870" s="2091" t="s">
        <v>24</v>
      </c>
      <c r="H870" s="2091" t="s">
        <v>24</v>
      </c>
      <c r="I870" s="2091" t="s">
        <v>804</v>
      </c>
    </row>
    <row r="871" spans="1:9" ht="11.25" customHeight="1">
      <c r="A871" s="2091" t="s">
        <v>2181</v>
      </c>
      <c r="B871" s="2091" t="s">
        <v>14</v>
      </c>
      <c r="C871" s="2091" t="s">
        <v>2307</v>
      </c>
      <c r="D871" s="2091" t="s">
        <v>2308</v>
      </c>
      <c r="E871" s="2091" t="s">
        <v>2309</v>
      </c>
      <c r="F871" s="2091" t="s">
        <v>2185</v>
      </c>
      <c r="G871" s="2091" t="s">
        <v>24</v>
      </c>
      <c r="H871" s="2091" t="s">
        <v>24</v>
      </c>
      <c r="I871" s="2091" t="s">
        <v>804</v>
      </c>
    </row>
    <row r="872" spans="1:9" ht="11.25" customHeight="1">
      <c r="A872" s="2091" t="s">
        <v>2181</v>
      </c>
      <c r="B872" s="2091" t="s">
        <v>14</v>
      </c>
      <c r="C872" s="2091" t="s">
        <v>3387</v>
      </c>
      <c r="D872" s="2091" t="s">
        <v>3388</v>
      </c>
      <c r="E872" s="2091" t="s">
        <v>3389</v>
      </c>
      <c r="F872" s="2091" t="s">
        <v>2429</v>
      </c>
      <c r="G872" s="2091" t="s">
        <v>3390</v>
      </c>
      <c r="H872" s="2091" t="s">
        <v>24</v>
      </c>
      <c r="I872" s="2091" t="s">
        <v>804</v>
      </c>
    </row>
    <row r="873" spans="1:9" ht="11.25" customHeight="1">
      <c r="A873" s="2091" t="s">
        <v>2181</v>
      </c>
      <c r="B873" s="2091" t="s">
        <v>14</v>
      </c>
      <c r="C873" s="2091" t="s">
        <v>2335</v>
      </c>
      <c r="D873" s="2091" t="s">
        <v>2336</v>
      </c>
      <c r="E873" s="2091" t="s">
        <v>2337</v>
      </c>
      <c r="F873" s="2091" t="s">
        <v>2338</v>
      </c>
      <c r="G873" s="2091" t="s">
        <v>2339</v>
      </c>
      <c r="H873" s="2091" t="s">
        <v>24</v>
      </c>
      <c r="I873" s="2091" t="s">
        <v>804</v>
      </c>
    </row>
    <row r="874" spans="1:9" ht="11.25" customHeight="1">
      <c r="A874" s="2091" t="s">
        <v>2181</v>
      </c>
      <c r="B874" s="2091" t="s">
        <v>14</v>
      </c>
      <c r="C874" s="2091" t="s">
        <v>2345</v>
      </c>
      <c r="D874" s="2091" t="s">
        <v>2346</v>
      </c>
      <c r="E874" s="2091" t="s">
        <v>2347</v>
      </c>
      <c r="F874" s="2091" t="s">
        <v>2348</v>
      </c>
      <c r="G874" s="2091" t="s">
        <v>24</v>
      </c>
      <c r="H874" s="2091" t="s">
        <v>24</v>
      </c>
      <c r="I874" s="2091" t="s">
        <v>804</v>
      </c>
    </row>
    <row r="875" spans="1:9" ht="11.25" customHeight="1">
      <c r="A875" s="2091" t="s">
        <v>2181</v>
      </c>
      <c r="B875" s="2091" t="s">
        <v>14</v>
      </c>
      <c r="C875" s="2091" t="s">
        <v>3394</v>
      </c>
      <c r="D875" s="2091" t="s">
        <v>3395</v>
      </c>
      <c r="E875" s="2091" t="s">
        <v>3396</v>
      </c>
      <c r="F875" s="2091" t="s">
        <v>3397</v>
      </c>
      <c r="G875" s="2091" t="s">
        <v>24</v>
      </c>
      <c r="H875" s="2091" t="s">
        <v>24</v>
      </c>
      <c r="I875" s="2091" t="s">
        <v>804</v>
      </c>
    </row>
    <row r="876" spans="1:9" ht="11.25" customHeight="1">
      <c r="A876" s="2091" t="s">
        <v>2181</v>
      </c>
      <c r="B876" s="2091" t="s">
        <v>14</v>
      </c>
      <c r="C876" s="2091" t="s">
        <v>3732</v>
      </c>
      <c r="D876" s="2091" t="s">
        <v>3733</v>
      </c>
      <c r="E876" s="2091" t="s">
        <v>3734</v>
      </c>
      <c r="F876" s="2091" t="s">
        <v>559</v>
      </c>
      <c r="G876" s="2091" t="s">
        <v>24</v>
      </c>
      <c r="H876" s="2091" t="s">
        <v>24</v>
      </c>
      <c r="I876" s="2091" t="s">
        <v>804</v>
      </c>
    </row>
    <row r="877" spans="1:9" ht="11.25" customHeight="1">
      <c r="A877" s="2091" t="s">
        <v>2181</v>
      </c>
      <c r="B877" s="2091" t="s">
        <v>14</v>
      </c>
      <c r="C877" s="2091" t="s">
        <v>3401</v>
      </c>
      <c r="D877" s="2091" t="s">
        <v>3402</v>
      </c>
      <c r="E877" s="2091" t="s">
        <v>3403</v>
      </c>
      <c r="F877" s="2091" t="s">
        <v>559</v>
      </c>
      <c r="G877" s="2091" t="s">
        <v>24</v>
      </c>
      <c r="H877" s="2091" t="s">
        <v>24</v>
      </c>
      <c r="I877" s="2091" t="s">
        <v>804</v>
      </c>
    </row>
    <row r="878" spans="1:9" ht="11.25" customHeight="1">
      <c r="A878" s="2091" t="s">
        <v>2181</v>
      </c>
      <c r="B878" s="2091" t="s">
        <v>14</v>
      </c>
      <c r="C878" s="2091" t="s">
        <v>3413</v>
      </c>
      <c r="D878" s="2091" t="s">
        <v>3414</v>
      </c>
      <c r="E878" s="2091" t="s">
        <v>3415</v>
      </c>
      <c r="F878" s="2091" t="s">
        <v>2683</v>
      </c>
      <c r="G878" s="2091" t="s">
        <v>24</v>
      </c>
      <c r="H878" s="2091" t="s">
        <v>24</v>
      </c>
      <c r="I878" s="2091" t="s">
        <v>804</v>
      </c>
    </row>
    <row r="879" spans="1:9" ht="11.25" customHeight="1">
      <c r="A879" s="2091" t="s">
        <v>2181</v>
      </c>
      <c r="B879" s="2091" t="s">
        <v>14</v>
      </c>
      <c r="C879" s="2091" t="s">
        <v>2373</v>
      </c>
      <c r="D879" s="2091" t="s">
        <v>2374</v>
      </c>
      <c r="E879" s="2091" t="s">
        <v>2375</v>
      </c>
      <c r="F879" s="2091" t="s">
        <v>2376</v>
      </c>
      <c r="G879" s="2091" t="s">
        <v>24</v>
      </c>
      <c r="H879" s="2091" t="s">
        <v>24</v>
      </c>
      <c r="I879" s="2091" t="s">
        <v>804</v>
      </c>
    </row>
    <row r="880" spans="1:9" ht="11.25" customHeight="1">
      <c r="A880" s="2091" t="s">
        <v>2181</v>
      </c>
      <c r="B880" s="2091" t="s">
        <v>14</v>
      </c>
      <c r="C880" s="2091" t="s">
        <v>2380</v>
      </c>
      <c r="D880" s="2091" t="s">
        <v>2381</v>
      </c>
      <c r="E880" s="2091" t="s">
        <v>2382</v>
      </c>
      <c r="F880" s="2091" t="s">
        <v>2383</v>
      </c>
      <c r="G880" s="2091" t="s">
        <v>24</v>
      </c>
      <c r="H880" s="2091" t="s">
        <v>24</v>
      </c>
      <c r="I880" s="2091" t="s">
        <v>804</v>
      </c>
    </row>
    <row r="881" spans="1:9" ht="11.25" customHeight="1">
      <c r="A881" s="2091" t="s">
        <v>2181</v>
      </c>
      <c r="B881" s="2091" t="s">
        <v>14</v>
      </c>
      <c r="C881" s="2091" t="s">
        <v>2387</v>
      </c>
      <c r="D881" s="2091" t="s">
        <v>2388</v>
      </c>
      <c r="E881" s="2091" t="s">
        <v>2389</v>
      </c>
      <c r="F881" s="2091" t="s">
        <v>2283</v>
      </c>
      <c r="G881" s="2091" t="s">
        <v>2390</v>
      </c>
      <c r="H881" s="2091" t="s">
        <v>24</v>
      </c>
      <c r="I881" s="2091" t="s">
        <v>804</v>
      </c>
    </row>
    <row r="882" spans="1:9" ht="11.25" customHeight="1">
      <c r="A882" s="2091" t="s">
        <v>2181</v>
      </c>
      <c r="B882" s="2091" t="s">
        <v>14</v>
      </c>
      <c r="C882" s="2091" t="s">
        <v>2391</v>
      </c>
      <c r="D882" s="2091" t="s">
        <v>2392</v>
      </c>
      <c r="E882" s="2091" t="s">
        <v>2393</v>
      </c>
      <c r="F882" s="2091" t="s">
        <v>2394</v>
      </c>
      <c r="G882" s="2091" t="s">
        <v>24</v>
      </c>
      <c r="H882" s="2091" t="s">
        <v>24</v>
      </c>
      <c r="I882" s="2091" t="s">
        <v>804</v>
      </c>
    </row>
    <row r="883" spans="1:9" ht="11.25" customHeight="1">
      <c r="A883" s="2091" t="s">
        <v>2181</v>
      </c>
      <c r="B883" s="2091" t="s">
        <v>14</v>
      </c>
      <c r="C883" s="2091" t="s">
        <v>2395</v>
      </c>
      <c r="D883" s="2091" t="s">
        <v>2396</v>
      </c>
      <c r="E883" s="2091" t="s">
        <v>2397</v>
      </c>
      <c r="F883" s="2091" t="s">
        <v>2194</v>
      </c>
      <c r="G883" s="2091" t="s">
        <v>24</v>
      </c>
      <c r="H883" s="2091" t="s">
        <v>24</v>
      </c>
      <c r="I883" s="2091" t="s">
        <v>804</v>
      </c>
    </row>
    <row r="884" spans="1:9" ht="11.25" customHeight="1">
      <c r="A884" s="2091" t="s">
        <v>2181</v>
      </c>
      <c r="B884" s="2091" t="s">
        <v>14</v>
      </c>
      <c r="C884" s="2091" t="s">
        <v>24</v>
      </c>
      <c r="D884" s="2091" t="s">
        <v>2406</v>
      </c>
      <c r="E884" s="2091" t="s">
        <v>2407</v>
      </c>
      <c r="F884" s="2091" t="s">
        <v>2293</v>
      </c>
      <c r="G884" s="2091" t="s">
        <v>24</v>
      </c>
      <c r="H884" s="2091" t="s">
        <v>24</v>
      </c>
      <c r="I884" s="2091" t="s">
        <v>804</v>
      </c>
    </row>
    <row r="885" spans="1:9" ht="11.25" customHeight="1">
      <c r="A885" s="2091" t="s">
        <v>2181</v>
      </c>
      <c r="B885" s="2091" t="s">
        <v>14</v>
      </c>
      <c r="C885" s="2091" t="s">
        <v>3416</v>
      </c>
      <c r="D885" s="2091" t="s">
        <v>3417</v>
      </c>
      <c r="E885" s="2091" t="s">
        <v>3418</v>
      </c>
      <c r="F885" s="2091" t="s">
        <v>2535</v>
      </c>
      <c r="G885" s="2091" t="s">
        <v>3419</v>
      </c>
      <c r="H885" s="2091" t="s">
        <v>24</v>
      </c>
      <c r="I885" s="2091" t="s">
        <v>804</v>
      </c>
    </row>
    <row r="886" spans="1:9" ht="11.25" customHeight="1">
      <c r="A886" s="2091" t="s">
        <v>2181</v>
      </c>
      <c r="B886" s="2091" t="s">
        <v>14</v>
      </c>
      <c r="C886" s="2091" t="s">
        <v>3433</v>
      </c>
      <c r="D886" s="2091" t="s">
        <v>3434</v>
      </c>
      <c r="E886" s="2091" t="s">
        <v>3435</v>
      </c>
      <c r="F886" s="2091" t="s">
        <v>3355</v>
      </c>
      <c r="G886" s="2091" t="s">
        <v>24</v>
      </c>
      <c r="H886" s="2091" t="s">
        <v>24</v>
      </c>
      <c r="I886" s="2091" t="s">
        <v>804</v>
      </c>
    </row>
    <row r="887" spans="1:9" ht="11.25" customHeight="1">
      <c r="A887" s="2091" t="s">
        <v>2181</v>
      </c>
      <c r="B887" s="2091" t="s">
        <v>14</v>
      </c>
      <c r="C887" s="2091" t="s">
        <v>3735</v>
      </c>
      <c r="D887" s="2091" t="s">
        <v>3736</v>
      </c>
      <c r="E887" s="2091" t="s">
        <v>3737</v>
      </c>
      <c r="F887" s="2091" t="s">
        <v>2242</v>
      </c>
      <c r="G887" s="2091" t="s">
        <v>24</v>
      </c>
      <c r="H887" s="2091" t="s">
        <v>24</v>
      </c>
      <c r="I887" s="2091" t="s">
        <v>804</v>
      </c>
    </row>
    <row r="888" spans="1:9" ht="11.25" customHeight="1">
      <c r="A888" s="2091" t="s">
        <v>2181</v>
      </c>
      <c r="B888" s="2091" t="s">
        <v>14</v>
      </c>
      <c r="C888" s="2091" t="s">
        <v>2411</v>
      </c>
      <c r="D888" s="2091" t="s">
        <v>2412</v>
      </c>
      <c r="E888" s="2091" t="s">
        <v>2413</v>
      </c>
      <c r="F888" s="2091" t="s">
        <v>2218</v>
      </c>
      <c r="G888" s="2091" t="s">
        <v>24</v>
      </c>
      <c r="H888" s="2091" t="s">
        <v>24</v>
      </c>
      <c r="I888" s="2091" t="s">
        <v>804</v>
      </c>
    </row>
    <row r="889" spans="1:9" ht="11.25" customHeight="1">
      <c r="A889" s="2091" t="s">
        <v>2181</v>
      </c>
      <c r="B889" s="2091" t="s">
        <v>14</v>
      </c>
      <c r="C889" s="2091" t="s">
        <v>3738</v>
      </c>
      <c r="D889" s="2091" t="s">
        <v>3739</v>
      </c>
      <c r="E889" s="2091" t="s">
        <v>3740</v>
      </c>
      <c r="F889" s="2091" t="s">
        <v>2443</v>
      </c>
      <c r="G889" s="2091" t="s">
        <v>3741</v>
      </c>
      <c r="H889" s="2091" t="s">
        <v>24</v>
      </c>
      <c r="I889" s="2091" t="s">
        <v>804</v>
      </c>
    </row>
    <row r="890" spans="1:9" ht="11.25" customHeight="1">
      <c r="A890" s="2091" t="s">
        <v>2181</v>
      </c>
      <c r="B890" s="2091" t="s">
        <v>14</v>
      </c>
      <c r="C890" s="2091" t="s">
        <v>2421</v>
      </c>
      <c r="D890" s="2091" t="s">
        <v>2422</v>
      </c>
      <c r="E890" s="2091" t="s">
        <v>2423</v>
      </c>
      <c r="F890" s="2091" t="s">
        <v>2424</v>
      </c>
      <c r="G890" s="2091" t="s">
        <v>2425</v>
      </c>
      <c r="H890" s="2091" t="s">
        <v>24</v>
      </c>
      <c r="I890" s="2091" t="s">
        <v>804</v>
      </c>
    </row>
    <row r="891" spans="1:9" ht="11.25" customHeight="1">
      <c r="A891" s="2091" t="s">
        <v>2181</v>
      </c>
      <c r="B891" s="2091" t="s">
        <v>14</v>
      </c>
      <c r="C891" s="2091" t="s">
        <v>3445</v>
      </c>
      <c r="D891" s="2091" t="s">
        <v>3446</v>
      </c>
      <c r="E891" s="2091" t="s">
        <v>3447</v>
      </c>
      <c r="F891" s="2091" t="s">
        <v>2424</v>
      </c>
      <c r="G891" s="2091" t="s">
        <v>3448</v>
      </c>
      <c r="H891" s="2091" t="s">
        <v>24</v>
      </c>
      <c r="I891" s="2091" t="s">
        <v>804</v>
      </c>
    </row>
    <row r="892" spans="1:9" ht="11.25" customHeight="1">
      <c r="A892" s="2091" t="s">
        <v>2181</v>
      </c>
      <c r="B892" s="2091" t="s">
        <v>14</v>
      </c>
      <c r="C892" s="2091" t="s">
        <v>2426</v>
      </c>
      <c r="D892" s="2091" t="s">
        <v>2427</v>
      </c>
      <c r="E892" s="2091" t="s">
        <v>2428</v>
      </c>
      <c r="F892" s="2091" t="s">
        <v>2429</v>
      </c>
      <c r="G892" s="2091" t="s">
        <v>24</v>
      </c>
      <c r="H892" s="2091" t="s">
        <v>24</v>
      </c>
      <c r="I892" s="2091" t="s">
        <v>804</v>
      </c>
    </row>
    <row r="893" spans="1:9" ht="11.25" customHeight="1">
      <c r="A893" s="2091" t="s">
        <v>2181</v>
      </c>
      <c r="B893" s="2091" t="s">
        <v>14</v>
      </c>
      <c r="C893" s="2091" t="s">
        <v>2430</v>
      </c>
      <c r="D893" s="2091" t="s">
        <v>2431</v>
      </c>
      <c r="E893" s="2091" t="s">
        <v>2432</v>
      </c>
      <c r="F893" s="2091" t="s">
        <v>2433</v>
      </c>
      <c r="G893" s="2091" t="s">
        <v>2434</v>
      </c>
      <c r="H893" s="2091" t="s">
        <v>24</v>
      </c>
      <c r="I893" s="2091" t="s">
        <v>804</v>
      </c>
    </row>
    <row r="894" spans="1:9" ht="11.25" customHeight="1">
      <c r="A894" s="2091" t="s">
        <v>2181</v>
      </c>
      <c r="B894" s="2091" t="s">
        <v>14</v>
      </c>
      <c r="C894" s="2091" t="s">
        <v>2435</v>
      </c>
      <c r="D894" s="2091" t="s">
        <v>2436</v>
      </c>
      <c r="E894" s="2091" t="s">
        <v>2437</v>
      </c>
      <c r="F894" s="2091" t="s">
        <v>2438</v>
      </c>
      <c r="G894" s="2091" t="s">
        <v>2439</v>
      </c>
      <c r="H894" s="2091" t="s">
        <v>24</v>
      </c>
      <c r="I894" s="2091" t="s">
        <v>804</v>
      </c>
    </row>
    <row r="895" spans="1:9" ht="11.25" customHeight="1">
      <c r="A895" s="2091" t="s">
        <v>2181</v>
      </c>
      <c r="B895" s="2091" t="s">
        <v>14</v>
      </c>
      <c r="C895" s="2091" t="s">
        <v>2452</v>
      </c>
      <c r="D895" s="2091" t="s">
        <v>2453</v>
      </c>
      <c r="E895" s="2091" t="s">
        <v>2454</v>
      </c>
      <c r="F895" s="2091" t="s">
        <v>2455</v>
      </c>
      <c r="G895" s="2091" t="s">
        <v>24</v>
      </c>
      <c r="H895" s="2091" t="s">
        <v>24</v>
      </c>
      <c r="I895" s="2091" t="s">
        <v>804</v>
      </c>
    </row>
    <row r="896" spans="1:9" ht="11.25" customHeight="1">
      <c r="A896" s="2091" t="s">
        <v>2181</v>
      </c>
      <c r="B896" s="2091" t="s">
        <v>14</v>
      </c>
      <c r="C896" s="2091" t="s">
        <v>2456</v>
      </c>
      <c r="D896" s="2091" t="s">
        <v>2457</v>
      </c>
      <c r="E896" s="2091" t="s">
        <v>2458</v>
      </c>
      <c r="F896" s="2091" t="s">
        <v>2343</v>
      </c>
      <c r="G896" s="2091" t="s">
        <v>2459</v>
      </c>
      <c r="H896" s="2091" t="s">
        <v>24</v>
      </c>
      <c r="I896" s="2091" t="s">
        <v>804</v>
      </c>
    </row>
    <row r="897" spans="1:9" ht="11.25" customHeight="1">
      <c r="A897" s="2091" t="s">
        <v>2181</v>
      </c>
      <c r="B897" s="2091" t="s">
        <v>14</v>
      </c>
      <c r="C897" s="2091" t="s">
        <v>3449</v>
      </c>
      <c r="D897" s="2091" t="s">
        <v>3450</v>
      </c>
      <c r="E897" s="2091" t="s">
        <v>3451</v>
      </c>
      <c r="F897" s="2091" t="s">
        <v>2463</v>
      </c>
      <c r="G897" s="2091" t="s">
        <v>3452</v>
      </c>
      <c r="H897" s="2091" t="s">
        <v>24</v>
      </c>
      <c r="I897" s="2091" t="s">
        <v>804</v>
      </c>
    </row>
    <row r="898" spans="1:9" ht="11.25" customHeight="1">
      <c r="A898" s="2091" t="s">
        <v>2181</v>
      </c>
      <c r="B898" s="2091" t="s">
        <v>14</v>
      </c>
      <c r="C898" s="2091" t="s">
        <v>2460</v>
      </c>
      <c r="D898" s="2091" t="s">
        <v>2461</v>
      </c>
      <c r="E898" s="2091" t="s">
        <v>2462</v>
      </c>
      <c r="F898" s="2091" t="s">
        <v>2463</v>
      </c>
      <c r="G898" s="2091" t="s">
        <v>2464</v>
      </c>
      <c r="H898" s="2091" t="s">
        <v>24</v>
      </c>
      <c r="I898" s="2091" t="s">
        <v>804</v>
      </c>
    </row>
    <row r="899" spans="1:9" ht="11.25" customHeight="1">
      <c r="A899" s="2091" t="s">
        <v>2181</v>
      </c>
      <c r="B899" s="2091" t="s">
        <v>14</v>
      </c>
      <c r="C899" s="2091" t="s">
        <v>3453</v>
      </c>
      <c r="D899" s="2091" t="s">
        <v>3454</v>
      </c>
      <c r="E899" s="2091" t="s">
        <v>3455</v>
      </c>
      <c r="F899" s="2091" t="s">
        <v>2463</v>
      </c>
      <c r="G899" s="2091" t="s">
        <v>24</v>
      </c>
      <c r="H899" s="2091" t="s">
        <v>24</v>
      </c>
      <c r="I899" s="2091" t="s">
        <v>804</v>
      </c>
    </row>
    <row r="900" spans="1:9" ht="11.25" customHeight="1">
      <c r="A900" s="2091" t="s">
        <v>2181</v>
      </c>
      <c r="B900" s="2091" t="s">
        <v>14</v>
      </c>
      <c r="C900" s="2091" t="s">
        <v>3462</v>
      </c>
      <c r="D900" s="2091" t="s">
        <v>3463</v>
      </c>
      <c r="E900" s="2091" t="s">
        <v>3464</v>
      </c>
      <c r="F900" s="2091" t="s">
        <v>2570</v>
      </c>
      <c r="G900" s="2091" t="s">
        <v>24</v>
      </c>
      <c r="H900" s="2091" t="s">
        <v>24</v>
      </c>
      <c r="I900" s="2091" t="s">
        <v>804</v>
      </c>
    </row>
    <row r="901" spans="1:9" ht="11.25" customHeight="1">
      <c r="A901" s="2091" t="s">
        <v>2181</v>
      </c>
      <c r="B901" s="2091" t="s">
        <v>14</v>
      </c>
      <c r="C901" s="2091" t="s">
        <v>2473</v>
      </c>
      <c r="D901" s="2091" t="s">
        <v>2474</v>
      </c>
      <c r="E901" s="2091" t="s">
        <v>2475</v>
      </c>
      <c r="F901" s="2091" t="s">
        <v>2226</v>
      </c>
      <c r="G901" s="2091" t="s">
        <v>2476</v>
      </c>
      <c r="H901" s="2091" t="s">
        <v>24</v>
      </c>
      <c r="I901" s="2091" t="s">
        <v>804</v>
      </c>
    </row>
    <row r="902" spans="1:9" ht="11.25" customHeight="1">
      <c r="A902" s="2091" t="s">
        <v>2181</v>
      </c>
      <c r="B902" s="2091" t="s">
        <v>14</v>
      </c>
      <c r="C902" s="2091" t="s">
        <v>2477</v>
      </c>
      <c r="D902" s="2091" t="s">
        <v>2478</v>
      </c>
      <c r="E902" s="2091" t="s">
        <v>2479</v>
      </c>
      <c r="F902" s="2091" t="s">
        <v>2338</v>
      </c>
      <c r="G902" s="2091" t="s">
        <v>2480</v>
      </c>
      <c r="H902" s="2091" t="s">
        <v>24</v>
      </c>
      <c r="I902" s="2091" t="s">
        <v>804</v>
      </c>
    </row>
    <row r="903" spans="1:9" ht="11.25" customHeight="1">
      <c r="A903" s="2091" t="s">
        <v>2181</v>
      </c>
      <c r="B903" s="2091" t="s">
        <v>14</v>
      </c>
      <c r="C903" s="2091" t="s">
        <v>2481</v>
      </c>
      <c r="D903" s="2091" t="s">
        <v>2482</v>
      </c>
      <c r="E903" s="2091" t="s">
        <v>2483</v>
      </c>
      <c r="F903" s="2091" t="s">
        <v>2250</v>
      </c>
      <c r="G903" s="2091" t="s">
        <v>2484</v>
      </c>
      <c r="H903" s="2091" t="s">
        <v>24</v>
      </c>
      <c r="I903" s="2091" t="s">
        <v>804</v>
      </c>
    </row>
    <row r="904" spans="1:9" ht="11.25" customHeight="1">
      <c r="A904" s="2091" t="s">
        <v>2181</v>
      </c>
      <c r="B904" s="2091" t="s">
        <v>14</v>
      </c>
      <c r="C904" s="2091" t="s">
        <v>2485</v>
      </c>
      <c r="D904" s="2091" t="s">
        <v>2486</v>
      </c>
      <c r="E904" s="2091" t="s">
        <v>2487</v>
      </c>
      <c r="F904" s="2091" t="s">
        <v>2329</v>
      </c>
      <c r="G904" s="2091" t="s">
        <v>2488</v>
      </c>
      <c r="H904" s="2091" t="s">
        <v>24</v>
      </c>
      <c r="I904" s="2091" t="s">
        <v>804</v>
      </c>
    </row>
    <row r="905" spans="1:9" ht="11.25" customHeight="1">
      <c r="A905" s="2091" t="s">
        <v>2181</v>
      </c>
      <c r="B905" s="2091" t="s">
        <v>14</v>
      </c>
      <c r="C905" s="2091" t="s">
        <v>2489</v>
      </c>
      <c r="D905" s="2091" t="s">
        <v>2490</v>
      </c>
      <c r="E905" s="2091" t="s">
        <v>2491</v>
      </c>
      <c r="F905" s="2091" t="s">
        <v>2492</v>
      </c>
      <c r="G905" s="2091" t="s">
        <v>2493</v>
      </c>
      <c r="H905" s="2091" t="s">
        <v>24</v>
      </c>
      <c r="I905" s="2091" t="s">
        <v>804</v>
      </c>
    </row>
    <row r="906" spans="1:9" ht="11.25" customHeight="1">
      <c r="A906" s="2091" t="s">
        <v>2181</v>
      </c>
      <c r="B906" s="2091" t="s">
        <v>14</v>
      </c>
      <c r="C906" s="2091" t="s">
        <v>2494</v>
      </c>
      <c r="D906" s="2091" t="s">
        <v>2495</v>
      </c>
      <c r="E906" s="2091" t="s">
        <v>2496</v>
      </c>
      <c r="F906" s="2091" t="s">
        <v>2361</v>
      </c>
      <c r="G906" s="2091" t="s">
        <v>24</v>
      </c>
      <c r="H906" s="2091" t="s">
        <v>24</v>
      </c>
      <c r="I906" s="2091" t="s">
        <v>804</v>
      </c>
    </row>
    <row r="907" spans="1:9" ht="11.25" customHeight="1">
      <c r="A907" s="2091" t="s">
        <v>2181</v>
      </c>
      <c r="B907" s="2091" t="s">
        <v>14</v>
      </c>
      <c r="C907" s="2091" t="s">
        <v>2497</v>
      </c>
      <c r="D907" s="2091" t="s">
        <v>2498</v>
      </c>
      <c r="E907" s="2091" t="s">
        <v>2499</v>
      </c>
      <c r="F907" s="2091" t="s">
        <v>2500</v>
      </c>
      <c r="G907" s="2091" t="s">
        <v>2501</v>
      </c>
      <c r="H907" s="2091" t="s">
        <v>24</v>
      </c>
      <c r="I907" s="2091" t="s">
        <v>804</v>
      </c>
    </row>
    <row r="908" spans="1:9" ht="11.25" customHeight="1">
      <c r="A908" s="2091" t="s">
        <v>2181</v>
      </c>
      <c r="B908" s="2091" t="s">
        <v>14</v>
      </c>
      <c r="C908" s="2091" t="s">
        <v>2513</v>
      </c>
      <c r="D908" s="2091" t="s">
        <v>2514</v>
      </c>
      <c r="E908" s="2091" t="s">
        <v>2515</v>
      </c>
      <c r="F908" s="2091" t="s">
        <v>2255</v>
      </c>
      <c r="G908" s="2091" t="s">
        <v>2516</v>
      </c>
      <c r="H908" s="2091" t="s">
        <v>24</v>
      </c>
      <c r="I908" s="2091" t="s">
        <v>804</v>
      </c>
    </row>
    <row r="909" spans="1:9" ht="11.25" customHeight="1">
      <c r="A909" s="2091" t="s">
        <v>2181</v>
      </c>
      <c r="B909" s="2091" t="s">
        <v>14</v>
      </c>
      <c r="C909" s="2091" t="s">
        <v>2524</v>
      </c>
      <c r="D909" s="2091" t="s">
        <v>2525</v>
      </c>
      <c r="E909" s="2091" t="s">
        <v>2526</v>
      </c>
      <c r="F909" s="2091" t="s">
        <v>2338</v>
      </c>
      <c r="G909" s="2091" t="s">
        <v>2527</v>
      </c>
      <c r="H909" s="2091" t="s">
        <v>24</v>
      </c>
      <c r="I909" s="2091" t="s">
        <v>804</v>
      </c>
    </row>
    <row r="910" spans="1:9" ht="11.25" customHeight="1">
      <c r="A910" s="2091" t="s">
        <v>2181</v>
      </c>
      <c r="B910" s="2091" t="s">
        <v>14</v>
      </c>
      <c r="C910" s="2091" t="s">
        <v>2528</v>
      </c>
      <c r="D910" s="2091" t="s">
        <v>2529</v>
      </c>
      <c r="E910" s="2091" t="s">
        <v>2530</v>
      </c>
      <c r="F910" s="2091" t="s">
        <v>2250</v>
      </c>
      <c r="G910" s="2091" t="s">
        <v>2531</v>
      </c>
      <c r="H910" s="2091" t="s">
        <v>24</v>
      </c>
      <c r="I910" s="2091" t="s">
        <v>804</v>
      </c>
    </row>
    <row r="911" spans="1:9" ht="11.25" customHeight="1">
      <c r="A911" s="2091" t="s">
        <v>2181</v>
      </c>
      <c r="B911" s="2091" t="s">
        <v>14</v>
      </c>
      <c r="C911" s="2091" t="s">
        <v>2532</v>
      </c>
      <c r="D911" s="2091" t="s">
        <v>2533</v>
      </c>
      <c r="E911" s="2091" t="s">
        <v>2534</v>
      </c>
      <c r="F911" s="2091" t="s">
        <v>2535</v>
      </c>
      <c r="G911" s="2091" t="s">
        <v>24</v>
      </c>
      <c r="H911" s="2091" t="s">
        <v>24</v>
      </c>
      <c r="I911" s="2091" t="s">
        <v>804</v>
      </c>
    </row>
    <row r="912" spans="1:9" ht="11.25" customHeight="1">
      <c r="A912" s="2091" t="s">
        <v>2181</v>
      </c>
      <c r="B912" s="2091" t="s">
        <v>14</v>
      </c>
      <c r="C912" s="2091" t="s">
        <v>2536</v>
      </c>
      <c r="D912" s="2091" t="s">
        <v>2537</v>
      </c>
      <c r="E912" s="2091" t="s">
        <v>2538</v>
      </c>
      <c r="F912" s="2091" t="s">
        <v>2343</v>
      </c>
      <c r="G912" s="2091" t="s">
        <v>24</v>
      </c>
      <c r="H912" s="2091" t="s">
        <v>24</v>
      </c>
      <c r="I912" s="2091" t="s">
        <v>804</v>
      </c>
    </row>
    <row r="913" spans="1:9" ht="11.25" customHeight="1">
      <c r="A913" s="2091" t="s">
        <v>2181</v>
      </c>
      <c r="B913" s="2091" t="s">
        <v>14</v>
      </c>
      <c r="C913" s="2091" t="s">
        <v>3742</v>
      </c>
      <c r="D913" s="2091" t="s">
        <v>3743</v>
      </c>
      <c r="E913" s="2091" t="s">
        <v>3744</v>
      </c>
      <c r="F913" s="2091" t="s">
        <v>3355</v>
      </c>
      <c r="G913" s="2091" t="s">
        <v>24</v>
      </c>
      <c r="H913" s="2091" t="s">
        <v>24</v>
      </c>
      <c r="I913" s="2091" t="s">
        <v>804</v>
      </c>
    </row>
    <row r="914" spans="1:9" ht="11.25" customHeight="1">
      <c r="A914" s="2091" t="s">
        <v>2181</v>
      </c>
      <c r="B914" s="2091" t="s">
        <v>14</v>
      </c>
      <c r="C914" s="2091" t="s">
        <v>3468</v>
      </c>
      <c r="D914" s="2091" t="s">
        <v>3469</v>
      </c>
      <c r="E914" s="2091" t="s">
        <v>3470</v>
      </c>
      <c r="F914" s="2091" t="s">
        <v>3471</v>
      </c>
      <c r="G914" s="2091" t="s">
        <v>24</v>
      </c>
      <c r="H914" s="2091" t="s">
        <v>24</v>
      </c>
      <c r="I914" s="2091" t="s">
        <v>804</v>
      </c>
    </row>
    <row r="915" spans="1:9" ht="11.25" customHeight="1">
      <c r="A915" s="2091" t="s">
        <v>2181</v>
      </c>
      <c r="B915" s="2091" t="s">
        <v>14</v>
      </c>
      <c r="C915" s="2091" t="s">
        <v>2539</v>
      </c>
      <c r="D915" s="2091" t="s">
        <v>2540</v>
      </c>
      <c r="E915" s="2091" t="s">
        <v>2541</v>
      </c>
      <c r="F915" s="2091" t="s">
        <v>2451</v>
      </c>
      <c r="G915" s="2091" t="s">
        <v>24</v>
      </c>
      <c r="H915" s="2091" t="s">
        <v>24</v>
      </c>
      <c r="I915" s="2091" t="s">
        <v>804</v>
      </c>
    </row>
    <row r="916" spans="1:9" ht="11.25" customHeight="1">
      <c r="A916" s="2091" t="s">
        <v>2181</v>
      </c>
      <c r="B916" s="2091" t="s">
        <v>14</v>
      </c>
      <c r="C916" s="2091" t="s">
        <v>2545</v>
      </c>
      <c r="D916" s="2091" t="s">
        <v>2546</v>
      </c>
      <c r="E916" s="2091" t="s">
        <v>2547</v>
      </c>
      <c r="F916" s="2091" t="s">
        <v>2451</v>
      </c>
      <c r="G916" s="2091" t="s">
        <v>24</v>
      </c>
      <c r="H916" s="2091" t="s">
        <v>24</v>
      </c>
      <c r="I916" s="2091" t="s">
        <v>804</v>
      </c>
    </row>
    <row r="917" spans="1:9" ht="11.25" customHeight="1">
      <c r="A917" s="2091" t="s">
        <v>2181</v>
      </c>
      <c r="B917" s="2091" t="s">
        <v>14</v>
      </c>
      <c r="C917" s="2091" t="s">
        <v>2548</v>
      </c>
      <c r="D917" s="2091" t="s">
        <v>2549</v>
      </c>
      <c r="E917" s="2091" t="s">
        <v>2550</v>
      </c>
      <c r="F917" s="2091" t="s">
        <v>2455</v>
      </c>
      <c r="G917" s="2091" t="s">
        <v>2551</v>
      </c>
      <c r="H917" s="2091" t="s">
        <v>24</v>
      </c>
      <c r="I917" s="2091" t="s">
        <v>804</v>
      </c>
    </row>
    <row r="918" spans="1:9" ht="11.25" customHeight="1">
      <c r="A918" s="2091" t="s">
        <v>2181</v>
      </c>
      <c r="B918" s="2091" t="s">
        <v>14</v>
      </c>
      <c r="C918" s="2091" t="s">
        <v>2552</v>
      </c>
      <c r="D918" s="2091" t="s">
        <v>2553</v>
      </c>
      <c r="E918" s="2091" t="s">
        <v>2554</v>
      </c>
      <c r="F918" s="2091" t="s">
        <v>2325</v>
      </c>
      <c r="G918" s="2091" t="s">
        <v>2555</v>
      </c>
      <c r="H918" s="2091" t="s">
        <v>24</v>
      </c>
      <c r="I918" s="2091" t="s">
        <v>804</v>
      </c>
    </row>
    <row r="919" spans="1:9" ht="11.25" customHeight="1">
      <c r="A919" s="2091" t="s">
        <v>2181</v>
      </c>
      <c r="B919" s="2091" t="s">
        <v>14</v>
      </c>
      <c r="C919" s="2091" t="s">
        <v>2556</v>
      </c>
      <c r="D919" s="2091" t="s">
        <v>2557</v>
      </c>
      <c r="E919" s="2091" t="s">
        <v>2558</v>
      </c>
      <c r="F919" s="2091" t="s">
        <v>2317</v>
      </c>
      <c r="G919" s="2091" t="s">
        <v>2559</v>
      </c>
      <c r="H919" s="2091" t="s">
        <v>24</v>
      </c>
      <c r="I919" s="2091" t="s">
        <v>804</v>
      </c>
    </row>
    <row r="920" spans="1:9" ht="11.25" customHeight="1">
      <c r="A920" s="2091" t="s">
        <v>2181</v>
      </c>
      <c r="B920" s="2091" t="s">
        <v>14</v>
      </c>
      <c r="C920" s="2091" t="s">
        <v>2571</v>
      </c>
      <c r="D920" s="2091" t="s">
        <v>2572</v>
      </c>
      <c r="E920" s="2091" t="s">
        <v>2573</v>
      </c>
      <c r="F920" s="2091" t="s">
        <v>2226</v>
      </c>
      <c r="G920" s="2091" t="s">
        <v>2574</v>
      </c>
      <c r="H920" s="2091" t="s">
        <v>24</v>
      </c>
      <c r="I920" s="2091" t="s">
        <v>804</v>
      </c>
    </row>
    <row r="921" spans="1:9" ht="11.25" customHeight="1">
      <c r="A921" s="2091" t="s">
        <v>2181</v>
      </c>
      <c r="B921" s="2091" t="s">
        <v>14</v>
      </c>
      <c r="C921" s="2091" t="s">
        <v>2579</v>
      </c>
      <c r="D921" s="2091" t="s">
        <v>2580</v>
      </c>
      <c r="E921" s="2091" t="s">
        <v>2581</v>
      </c>
      <c r="F921" s="2091" t="s">
        <v>2512</v>
      </c>
      <c r="G921" s="2091" t="s">
        <v>2582</v>
      </c>
      <c r="H921" s="2091" t="s">
        <v>24</v>
      </c>
      <c r="I921" s="2091" t="s">
        <v>804</v>
      </c>
    </row>
    <row r="922" spans="1:9" ht="11.25" customHeight="1">
      <c r="A922" s="2091" t="s">
        <v>2181</v>
      </c>
      <c r="B922" s="2091" t="s">
        <v>14</v>
      </c>
      <c r="C922" s="2091" t="s">
        <v>2586</v>
      </c>
      <c r="D922" s="2091" t="s">
        <v>2587</v>
      </c>
      <c r="E922" s="2091" t="s">
        <v>2588</v>
      </c>
      <c r="F922" s="2091" t="s">
        <v>2372</v>
      </c>
      <c r="G922" s="2091" t="s">
        <v>24</v>
      </c>
      <c r="H922" s="2091" t="s">
        <v>2589</v>
      </c>
      <c r="I922" s="2091" t="s">
        <v>804</v>
      </c>
    </row>
    <row r="923" spans="1:9" ht="11.25" customHeight="1">
      <c r="A923" s="2091" t="s">
        <v>2181</v>
      </c>
      <c r="B923" s="2091" t="s">
        <v>14</v>
      </c>
      <c r="C923" s="2091" t="s">
        <v>3479</v>
      </c>
      <c r="D923" s="2091" t="s">
        <v>3480</v>
      </c>
      <c r="E923" s="2091" t="s">
        <v>3481</v>
      </c>
      <c r="F923" s="2091" t="s">
        <v>2405</v>
      </c>
      <c r="G923" s="2091" t="s">
        <v>24</v>
      </c>
      <c r="H923" s="2091" t="s">
        <v>24</v>
      </c>
      <c r="I923" s="2091" t="s">
        <v>804</v>
      </c>
    </row>
    <row r="924" spans="1:9" ht="11.25" customHeight="1">
      <c r="A924" s="2091" t="s">
        <v>2181</v>
      </c>
      <c r="B924" s="2091" t="s">
        <v>14</v>
      </c>
      <c r="C924" s="2091" t="s">
        <v>3482</v>
      </c>
      <c r="D924" s="2091" t="s">
        <v>3483</v>
      </c>
      <c r="E924" s="2091" t="s">
        <v>3484</v>
      </c>
      <c r="F924" s="2091" t="s">
        <v>2463</v>
      </c>
      <c r="G924" s="2091" t="s">
        <v>3485</v>
      </c>
      <c r="H924" s="2091" t="s">
        <v>24</v>
      </c>
      <c r="I924" s="2091" t="s">
        <v>804</v>
      </c>
    </row>
    <row r="925" spans="1:9" ht="11.25" customHeight="1">
      <c r="A925" s="2091" t="s">
        <v>2181</v>
      </c>
      <c r="B925" s="2091" t="s">
        <v>14</v>
      </c>
      <c r="C925" s="2091" t="s">
        <v>3486</v>
      </c>
      <c r="D925" s="2091" t="s">
        <v>3487</v>
      </c>
      <c r="E925" s="2091" t="s">
        <v>3488</v>
      </c>
      <c r="F925" s="2091" t="s">
        <v>2242</v>
      </c>
      <c r="G925" s="2091" t="s">
        <v>24</v>
      </c>
      <c r="H925" s="2091" t="s">
        <v>24</v>
      </c>
      <c r="I925" s="2091" t="s">
        <v>804</v>
      </c>
    </row>
    <row r="926" spans="1:9" ht="11.25" customHeight="1">
      <c r="A926" s="2091" t="s">
        <v>2181</v>
      </c>
      <c r="B926" s="2091" t="s">
        <v>14</v>
      </c>
      <c r="C926" s="2091" t="s">
        <v>2594</v>
      </c>
      <c r="D926" s="2091" t="s">
        <v>2595</v>
      </c>
      <c r="E926" s="2091" t="s">
        <v>2596</v>
      </c>
      <c r="F926" s="2091" t="s">
        <v>2492</v>
      </c>
      <c r="G926" s="2091" t="s">
        <v>2597</v>
      </c>
      <c r="H926" s="2091" t="s">
        <v>24</v>
      </c>
      <c r="I926" s="2091" t="s">
        <v>804</v>
      </c>
    </row>
    <row r="927" spans="1:9" ht="11.25" customHeight="1">
      <c r="A927" s="2091" t="s">
        <v>2181</v>
      </c>
      <c r="B927" s="2091" t="s">
        <v>14</v>
      </c>
      <c r="C927" s="2091" t="s">
        <v>2602</v>
      </c>
      <c r="D927" s="2091" t="s">
        <v>2603</v>
      </c>
      <c r="E927" s="2091" t="s">
        <v>2604</v>
      </c>
      <c r="F927" s="2091" t="s">
        <v>2605</v>
      </c>
      <c r="G927" s="2091" t="s">
        <v>2606</v>
      </c>
      <c r="H927" s="2091" t="s">
        <v>24</v>
      </c>
      <c r="I927" s="2091" t="s">
        <v>804</v>
      </c>
    </row>
    <row r="928" spans="1:9" ht="11.25" customHeight="1">
      <c r="A928" s="2091" t="s">
        <v>2181</v>
      </c>
      <c r="B928" s="2091" t="s">
        <v>14</v>
      </c>
      <c r="C928" s="2091" t="s">
        <v>2625</v>
      </c>
      <c r="D928" s="2091" t="s">
        <v>2626</v>
      </c>
      <c r="E928" s="2091" t="s">
        <v>2627</v>
      </c>
      <c r="F928" s="2091" t="s">
        <v>2268</v>
      </c>
      <c r="G928" s="2091" t="s">
        <v>24</v>
      </c>
      <c r="H928" s="2091" t="s">
        <v>24</v>
      </c>
      <c r="I928" s="2091" t="s">
        <v>804</v>
      </c>
    </row>
    <row r="929" spans="1:9" ht="11.25" customHeight="1">
      <c r="A929" s="2091" t="s">
        <v>2181</v>
      </c>
      <c r="B929" s="2091" t="s">
        <v>14</v>
      </c>
      <c r="C929" s="2091" t="s">
        <v>2628</v>
      </c>
      <c r="D929" s="2091" t="s">
        <v>2629</v>
      </c>
      <c r="E929" s="2091" t="s">
        <v>2630</v>
      </c>
      <c r="F929" s="2091" t="s">
        <v>2631</v>
      </c>
      <c r="G929" s="2091" t="s">
        <v>2632</v>
      </c>
      <c r="H929" s="2091" t="s">
        <v>24</v>
      </c>
      <c r="I929" s="2091" t="s">
        <v>804</v>
      </c>
    </row>
    <row r="930" spans="1:9" ht="11.25" customHeight="1">
      <c r="A930" s="2091" t="s">
        <v>2181</v>
      </c>
      <c r="B930" s="2091" t="s">
        <v>14</v>
      </c>
      <c r="C930" s="2091" t="s">
        <v>2633</v>
      </c>
      <c r="D930" s="2091" t="s">
        <v>2634</v>
      </c>
      <c r="E930" s="2091" t="s">
        <v>2635</v>
      </c>
      <c r="F930" s="2091" t="s">
        <v>2361</v>
      </c>
      <c r="G930" s="2091" t="s">
        <v>2636</v>
      </c>
      <c r="H930" s="2091" t="s">
        <v>24</v>
      </c>
      <c r="I930" s="2091" t="s">
        <v>804</v>
      </c>
    </row>
    <row r="931" spans="1:9" ht="11.25" customHeight="1">
      <c r="A931" s="2091" t="s">
        <v>2181</v>
      </c>
      <c r="B931" s="2091" t="s">
        <v>14</v>
      </c>
      <c r="C931" s="2091" t="s">
        <v>2637</v>
      </c>
      <c r="D931" s="2091" t="s">
        <v>2638</v>
      </c>
      <c r="E931" s="2091" t="s">
        <v>2393</v>
      </c>
      <c r="F931" s="2091" t="s">
        <v>2639</v>
      </c>
      <c r="G931" s="2091" t="s">
        <v>2640</v>
      </c>
      <c r="H931" s="2091" t="s">
        <v>24</v>
      </c>
      <c r="I931" s="2091" t="s">
        <v>804</v>
      </c>
    </row>
    <row r="932" spans="1:9" ht="11.25" customHeight="1">
      <c r="A932" s="2091" t="s">
        <v>2181</v>
      </c>
      <c r="B932" s="2091" t="s">
        <v>14</v>
      </c>
      <c r="C932" s="2091" t="s">
        <v>3498</v>
      </c>
      <c r="D932" s="2091" t="s">
        <v>3499</v>
      </c>
      <c r="E932" s="2091" t="s">
        <v>2296</v>
      </c>
      <c r="F932" s="2091" t="s">
        <v>3500</v>
      </c>
      <c r="G932" s="2091" t="s">
        <v>3501</v>
      </c>
      <c r="H932" s="2091" t="s">
        <v>24</v>
      </c>
      <c r="I932" s="2091" t="s">
        <v>804</v>
      </c>
    </row>
    <row r="933" spans="1:9" ht="11.25" customHeight="1">
      <c r="A933" s="2091" t="s">
        <v>2181</v>
      </c>
      <c r="B933" s="2091" t="s">
        <v>14</v>
      </c>
      <c r="C933" s="2091" t="s">
        <v>2655</v>
      </c>
      <c r="D933" s="2091" t="s">
        <v>2656</v>
      </c>
      <c r="E933" s="2091" t="s">
        <v>2657</v>
      </c>
      <c r="F933" s="2091" t="s">
        <v>2260</v>
      </c>
      <c r="G933" s="2091" t="s">
        <v>2658</v>
      </c>
      <c r="H933" s="2091" t="s">
        <v>24</v>
      </c>
      <c r="I933" s="2091" t="s">
        <v>804</v>
      </c>
    </row>
    <row r="934" spans="1:9" ht="11.25" customHeight="1">
      <c r="A934" s="2091" t="s">
        <v>2181</v>
      </c>
      <c r="B934" s="2091" t="s">
        <v>14</v>
      </c>
      <c r="C934" s="2091" t="s">
        <v>2672</v>
      </c>
      <c r="D934" s="2091" t="s">
        <v>2673</v>
      </c>
      <c r="E934" s="2091" t="s">
        <v>2674</v>
      </c>
      <c r="F934" s="2091" t="s">
        <v>2255</v>
      </c>
      <c r="G934" s="2091" t="s">
        <v>2675</v>
      </c>
      <c r="H934" s="2091" t="s">
        <v>24</v>
      </c>
      <c r="I934" s="2091" t="s">
        <v>804</v>
      </c>
    </row>
    <row r="935" spans="1:9" ht="11.25" customHeight="1">
      <c r="A935" s="2091" t="s">
        <v>2181</v>
      </c>
      <c r="B935" s="2091" t="s">
        <v>14</v>
      </c>
      <c r="C935" s="2091" t="s">
        <v>2676</v>
      </c>
      <c r="D935" s="2091" t="s">
        <v>2677</v>
      </c>
      <c r="E935" s="2091" t="s">
        <v>2678</v>
      </c>
      <c r="F935" s="2091" t="s">
        <v>2679</v>
      </c>
      <c r="G935" s="2091" t="s">
        <v>24</v>
      </c>
      <c r="H935" s="2091" t="s">
        <v>24</v>
      </c>
      <c r="I935" s="2091" t="s">
        <v>804</v>
      </c>
    </row>
    <row r="936" spans="1:9" ht="11.25" customHeight="1">
      <c r="A936" s="2091" t="s">
        <v>2181</v>
      </c>
      <c r="B936" s="2091" t="s">
        <v>14</v>
      </c>
      <c r="C936" s="2091" t="s">
        <v>2680</v>
      </c>
      <c r="D936" s="2091" t="s">
        <v>2681</v>
      </c>
      <c r="E936" s="2091" t="s">
        <v>2682</v>
      </c>
      <c r="F936" s="2091" t="s">
        <v>2683</v>
      </c>
      <c r="G936" s="2091" t="s">
        <v>24</v>
      </c>
      <c r="H936" s="2091" t="s">
        <v>24</v>
      </c>
      <c r="I936" s="2091" t="s">
        <v>804</v>
      </c>
    </row>
    <row r="937" spans="1:9" ht="11.25" customHeight="1">
      <c r="A937" s="2091" t="s">
        <v>2181</v>
      </c>
      <c r="B937" s="2091" t="s">
        <v>14</v>
      </c>
      <c r="C937" s="2091" t="s">
        <v>3745</v>
      </c>
      <c r="D937" s="2091" t="s">
        <v>3746</v>
      </c>
      <c r="E937" s="2091" t="s">
        <v>3747</v>
      </c>
      <c r="F937" s="2091" t="s">
        <v>3748</v>
      </c>
      <c r="G937" s="2091" t="s">
        <v>24</v>
      </c>
      <c r="H937" s="2091" t="s">
        <v>24</v>
      </c>
      <c r="I937" s="2091" t="s">
        <v>804</v>
      </c>
    </row>
    <row r="938" spans="1:9" ht="11.25" customHeight="1">
      <c r="A938" s="2091" t="s">
        <v>2181</v>
      </c>
      <c r="B938" s="2091" t="s">
        <v>14</v>
      </c>
      <c r="C938" s="2091" t="s">
        <v>3749</v>
      </c>
      <c r="D938" s="2091" t="s">
        <v>3750</v>
      </c>
      <c r="E938" s="2091" t="s">
        <v>3751</v>
      </c>
      <c r="F938" s="2091" t="s">
        <v>3752</v>
      </c>
      <c r="G938" s="2091" t="s">
        <v>24</v>
      </c>
      <c r="H938" s="2091" t="s">
        <v>24</v>
      </c>
      <c r="I938" s="2091" t="s">
        <v>804</v>
      </c>
    </row>
    <row r="939" spans="1:9" ht="11.25" customHeight="1">
      <c r="A939" s="2091" t="s">
        <v>2181</v>
      </c>
      <c r="B939" s="2091" t="s">
        <v>14</v>
      </c>
      <c r="C939" s="2091" t="s">
        <v>3753</v>
      </c>
      <c r="D939" s="2091" t="s">
        <v>3754</v>
      </c>
      <c r="E939" s="2091" t="s">
        <v>3755</v>
      </c>
      <c r="F939" s="2091" t="s">
        <v>2365</v>
      </c>
      <c r="G939" s="2091" t="s">
        <v>24</v>
      </c>
      <c r="H939" s="2091" t="s">
        <v>24</v>
      </c>
      <c r="I939" s="2091" t="s">
        <v>804</v>
      </c>
    </row>
    <row r="940" spans="1:9" ht="11.25" customHeight="1">
      <c r="A940" s="2091" t="s">
        <v>2181</v>
      </c>
      <c r="B940" s="2091" t="s">
        <v>14</v>
      </c>
      <c r="C940" s="2091" t="s">
        <v>3508</v>
      </c>
      <c r="D940" s="2091" t="s">
        <v>3509</v>
      </c>
      <c r="E940" s="2091" t="s">
        <v>3510</v>
      </c>
      <c r="F940" s="2091" t="s">
        <v>2683</v>
      </c>
      <c r="G940" s="2091" t="s">
        <v>24</v>
      </c>
      <c r="H940" s="2091" t="s">
        <v>24</v>
      </c>
      <c r="I940" s="2091" t="s">
        <v>804</v>
      </c>
    </row>
    <row r="941" spans="1:9" ht="11.25" customHeight="1">
      <c r="A941" s="2091" t="s">
        <v>2181</v>
      </c>
      <c r="B941" s="2091" t="s">
        <v>14</v>
      </c>
      <c r="C941" s="2091" t="s">
        <v>2690</v>
      </c>
      <c r="D941" s="2091" t="s">
        <v>2691</v>
      </c>
      <c r="E941" s="2091" t="s">
        <v>2692</v>
      </c>
      <c r="F941" s="2091" t="s">
        <v>2334</v>
      </c>
      <c r="G941" s="2091" t="s">
        <v>24</v>
      </c>
      <c r="H941" s="2091" t="s">
        <v>24</v>
      </c>
      <c r="I941" s="2091" t="s">
        <v>804</v>
      </c>
    </row>
    <row r="942" spans="1:9" ht="11.25" customHeight="1">
      <c r="A942" s="2091" t="s">
        <v>2181</v>
      </c>
      <c r="B942" s="2091" t="s">
        <v>14</v>
      </c>
      <c r="C942" s="2091" t="s">
        <v>3756</v>
      </c>
      <c r="D942" s="2091" t="s">
        <v>3757</v>
      </c>
      <c r="E942" s="2091" t="s">
        <v>3758</v>
      </c>
      <c r="F942" s="2091" t="s">
        <v>2852</v>
      </c>
      <c r="G942" s="2091" t="s">
        <v>24</v>
      </c>
      <c r="H942" s="2091" t="s">
        <v>24</v>
      </c>
      <c r="I942" s="2091" t="s">
        <v>804</v>
      </c>
    </row>
    <row r="943" spans="1:9" ht="11.25" customHeight="1">
      <c r="A943" s="2091" t="s">
        <v>2181</v>
      </c>
      <c r="B943" s="2091" t="s">
        <v>14</v>
      </c>
      <c r="C943" s="2091" t="s">
        <v>2693</v>
      </c>
      <c r="D943" s="2091" t="s">
        <v>2694</v>
      </c>
      <c r="E943" s="2091" t="s">
        <v>2695</v>
      </c>
      <c r="F943" s="2091" t="s">
        <v>2343</v>
      </c>
      <c r="G943" s="2091" t="s">
        <v>24</v>
      </c>
      <c r="H943" s="2091" t="s">
        <v>24</v>
      </c>
      <c r="I943" s="2091" t="s">
        <v>804</v>
      </c>
    </row>
    <row r="944" spans="1:9" ht="11.25" customHeight="1">
      <c r="A944" s="2091" t="s">
        <v>2181</v>
      </c>
      <c r="B944" s="2091" t="s">
        <v>14</v>
      </c>
      <c r="C944" s="2091" t="s">
        <v>2696</v>
      </c>
      <c r="D944" s="2091" t="s">
        <v>2697</v>
      </c>
      <c r="E944" s="2091" t="s">
        <v>2698</v>
      </c>
      <c r="F944" s="2091" t="s">
        <v>2343</v>
      </c>
      <c r="G944" s="2091" t="s">
        <v>2699</v>
      </c>
      <c r="H944" s="2091" t="s">
        <v>24</v>
      </c>
      <c r="I944" s="2091" t="s">
        <v>804</v>
      </c>
    </row>
    <row r="945" spans="1:9" ht="11.25" customHeight="1">
      <c r="A945" s="2091" t="s">
        <v>2181</v>
      </c>
      <c r="B945" s="2091" t="s">
        <v>14</v>
      </c>
      <c r="C945" s="2091" t="s">
        <v>3759</v>
      </c>
      <c r="D945" s="2091" t="s">
        <v>3760</v>
      </c>
      <c r="E945" s="2091" t="s">
        <v>3761</v>
      </c>
      <c r="F945" s="2091" t="s">
        <v>2255</v>
      </c>
      <c r="G945" s="2091" t="s">
        <v>24</v>
      </c>
      <c r="H945" s="2091" t="s">
        <v>24</v>
      </c>
      <c r="I945" s="2091" t="s">
        <v>804</v>
      </c>
    </row>
    <row r="946" spans="1:9" ht="11.25" customHeight="1">
      <c r="A946" s="2091" t="s">
        <v>2181</v>
      </c>
      <c r="B946" s="2091" t="s">
        <v>14</v>
      </c>
      <c r="C946" s="2091" t="s">
        <v>2700</v>
      </c>
      <c r="D946" s="2091" t="s">
        <v>2701</v>
      </c>
      <c r="E946" s="2091" t="s">
        <v>2702</v>
      </c>
      <c r="F946" s="2091" t="s">
        <v>2226</v>
      </c>
      <c r="G946" s="2091" t="s">
        <v>24</v>
      </c>
      <c r="H946" s="2091" t="s">
        <v>24</v>
      </c>
      <c r="I946" s="2091" t="s">
        <v>804</v>
      </c>
    </row>
    <row r="947" spans="1:9" ht="11.25" customHeight="1">
      <c r="A947" s="2091" t="s">
        <v>2181</v>
      </c>
      <c r="B947" s="2091" t="s">
        <v>14</v>
      </c>
      <c r="C947" s="2091" t="s">
        <v>3518</v>
      </c>
      <c r="D947" s="2091" t="s">
        <v>3519</v>
      </c>
      <c r="E947" s="2091" t="s">
        <v>3520</v>
      </c>
      <c r="F947" s="2091" t="s">
        <v>2535</v>
      </c>
      <c r="G947" s="2091" t="s">
        <v>24</v>
      </c>
      <c r="H947" s="2091" t="s">
        <v>24</v>
      </c>
      <c r="I947" s="2091" t="s">
        <v>804</v>
      </c>
    </row>
    <row r="948" spans="1:9" ht="11.25" customHeight="1">
      <c r="A948" s="2091" t="s">
        <v>2181</v>
      </c>
      <c r="B948" s="2091" t="s">
        <v>14</v>
      </c>
      <c r="C948" s="2091" t="s">
        <v>2710</v>
      </c>
      <c r="D948" s="2091" t="s">
        <v>2711</v>
      </c>
      <c r="E948" s="2091" t="s">
        <v>2712</v>
      </c>
      <c r="F948" s="2091" t="s">
        <v>2317</v>
      </c>
      <c r="G948" s="2091" t="s">
        <v>2713</v>
      </c>
      <c r="H948" s="2091" t="s">
        <v>2714</v>
      </c>
      <c r="I948" s="2091" t="s">
        <v>804</v>
      </c>
    </row>
    <row r="949" spans="1:9" ht="11.25" customHeight="1">
      <c r="A949" s="2091" t="s">
        <v>2181</v>
      </c>
      <c r="B949" s="2091" t="s">
        <v>14</v>
      </c>
      <c r="C949" s="2091" t="s">
        <v>2719</v>
      </c>
      <c r="D949" s="2091" t="s">
        <v>2720</v>
      </c>
      <c r="E949" s="2091" t="s">
        <v>2721</v>
      </c>
      <c r="F949" s="2091" t="s">
        <v>2361</v>
      </c>
      <c r="G949" s="2091" t="s">
        <v>24</v>
      </c>
      <c r="H949" s="2091" t="s">
        <v>24</v>
      </c>
      <c r="I949" s="2091" t="s">
        <v>804</v>
      </c>
    </row>
    <row r="950" spans="1:9" ht="11.25" customHeight="1">
      <c r="A950" s="2091" t="s">
        <v>2181</v>
      </c>
      <c r="B950" s="2091" t="s">
        <v>14</v>
      </c>
      <c r="C950" s="2091" t="s">
        <v>3524</v>
      </c>
      <c r="D950" s="2091" t="s">
        <v>3525</v>
      </c>
      <c r="E950" s="2091" t="s">
        <v>3526</v>
      </c>
      <c r="F950" s="2091" t="s">
        <v>2709</v>
      </c>
      <c r="G950" s="2091" t="s">
        <v>3527</v>
      </c>
      <c r="H950" s="2091" t="s">
        <v>24</v>
      </c>
      <c r="I950" s="2091" t="s">
        <v>804</v>
      </c>
    </row>
    <row r="951" spans="1:9" ht="11.25" customHeight="1">
      <c r="A951" s="2091" t="s">
        <v>2181</v>
      </c>
      <c r="B951" s="2091" t="s">
        <v>14</v>
      </c>
      <c r="C951" s="2091" t="s">
        <v>3528</v>
      </c>
      <c r="D951" s="2091" t="s">
        <v>3529</v>
      </c>
      <c r="E951" s="2091" t="s">
        <v>3530</v>
      </c>
      <c r="F951" s="2091" t="s">
        <v>2455</v>
      </c>
      <c r="G951" s="2091" t="s">
        <v>3531</v>
      </c>
      <c r="H951" s="2091" t="s">
        <v>24</v>
      </c>
      <c r="I951" s="2091" t="s">
        <v>804</v>
      </c>
    </row>
    <row r="952" spans="1:9" ht="11.25" customHeight="1">
      <c r="A952" s="2091" t="s">
        <v>2181</v>
      </c>
      <c r="B952" s="2091" t="s">
        <v>14</v>
      </c>
      <c r="C952" s="2091" t="s">
        <v>3532</v>
      </c>
      <c r="D952" s="2091" t="s">
        <v>3533</v>
      </c>
      <c r="E952" s="2091" t="s">
        <v>3534</v>
      </c>
      <c r="F952" s="2091" t="s">
        <v>2218</v>
      </c>
      <c r="G952" s="2091" t="s">
        <v>24</v>
      </c>
      <c r="H952" s="2091" t="s">
        <v>24</v>
      </c>
      <c r="I952" s="2091" t="s">
        <v>804</v>
      </c>
    </row>
    <row r="953" spans="1:9" ht="11.25" customHeight="1">
      <c r="A953" s="2091" t="s">
        <v>2181</v>
      </c>
      <c r="B953" s="2091" t="s">
        <v>14</v>
      </c>
      <c r="C953" s="2091" t="s">
        <v>3535</v>
      </c>
      <c r="D953" s="2091" t="s">
        <v>3533</v>
      </c>
      <c r="E953" s="2091" t="s">
        <v>3536</v>
      </c>
      <c r="F953" s="2091" t="s">
        <v>2338</v>
      </c>
      <c r="G953" s="2091" t="s">
        <v>3537</v>
      </c>
      <c r="H953" s="2091" t="s">
        <v>24</v>
      </c>
      <c r="I953" s="2091" t="s">
        <v>804</v>
      </c>
    </row>
    <row r="954" spans="1:9" ht="11.25" customHeight="1">
      <c r="A954" s="2091" t="s">
        <v>2181</v>
      </c>
      <c r="B954" s="2091" t="s">
        <v>14</v>
      </c>
      <c r="C954" s="2091" t="s">
        <v>3538</v>
      </c>
      <c r="D954" s="2091" t="s">
        <v>3539</v>
      </c>
      <c r="E954" s="2091" t="s">
        <v>3540</v>
      </c>
      <c r="F954" s="2091" t="s">
        <v>2535</v>
      </c>
      <c r="G954" s="2091" t="s">
        <v>24</v>
      </c>
      <c r="H954" s="2091" t="s">
        <v>24</v>
      </c>
      <c r="I954" s="2091" t="s">
        <v>804</v>
      </c>
    </row>
    <row r="955" spans="1:9" ht="11.25" customHeight="1">
      <c r="A955" s="2091" t="s">
        <v>2181</v>
      </c>
      <c r="B955" s="2091" t="s">
        <v>14</v>
      </c>
      <c r="C955" s="2091" t="s">
        <v>3541</v>
      </c>
      <c r="D955" s="2091" t="s">
        <v>3542</v>
      </c>
      <c r="E955" s="2091" t="s">
        <v>3543</v>
      </c>
      <c r="F955" s="2091" t="s">
        <v>2317</v>
      </c>
      <c r="G955" s="2091" t="s">
        <v>3544</v>
      </c>
      <c r="H955" s="2091" t="s">
        <v>24</v>
      </c>
      <c r="I955" s="2091" t="s">
        <v>804</v>
      </c>
    </row>
    <row r="956" spans="1:9" ht="11.25" customHeight="1">
      <c r="A956" s="2091" t="s">
        <v>2181</v>
      </c>
      <c r="B956" s="2091" t="s">
        <v>14</v>
      </c>
      <c r="C956" s="2091" t="s">
        <v>3762</v>
      </c>
      <c r="D956" s="2091" t="s">
        <v>3763</v>
      </c>
      <c r="E956" s="2091" t="s">
        <v>3764</v>
      </c>
      <c r="F956" s="2091" t="s">
        <v>2198</v>
      </c>
      <c r="G956" s="2091" t="s">
        <v>3765</v>
      </c>
      <c r="H956" s="2091" t="s">
        <v>24</v>
      </c>
      <c r="I956" s="2091" t="s">
        <v>804</v>
      </c>
    </row>
    <row r="957" spans="1:9" ht="11.25" customHeight="1">
      <c r="A957" s="2091" t="s">
        <v>2181</v>
      </c>
      <c r="B957" s="2091" t="s">
        <v>14</v>
      </c>
      <c r="C957" s="2091" t="s">
        <v>3766</v>
      </c>
      <c r="D957" s="2091" t="s">
        <v>3767</v>
      </c>
      <c r="E957" s="2091" t="s">
        <v>3768</v>
      </c>
      <c r="F957" s="2091" t="s">
        <v>2365</v>
      </c>
      <c r="G957" s="2091" t="s">
        <v>24</v>
      </c>
      <c r="H957" s="2091" t="s">
        <v>24</v>
      </c>
      <c r="I957" s="2091" t="s">
        <v>804</v>
      </c>
    </row>
    <row r="958" spans="1:9" ht="11.25" customHeight="1">
      <c r="A958" s="2091" t="s">
        <v>2181</v>
      </c>
      <c r="B958" s="2091" t="s">
        <v>14</v>
      </c>
      <c r="C958" s="2091" t="s">
        <v>3551</v>
      </c>
      <c r="D958" s="2091" t="s">
        <v>3552</v>
      </c>
      <c r="E958" s="2091" t="s">
        <v>3553</v>
      </c>
      <c r="F958" s="2091" t="s">
        <v>2383</v>
      </c>
      <c r="G958" s="2091" t="s">
        <v>2900</v>
      </c>
      <c r="H958" s="2091" t="s">
        <v>3277</v>
      </c>
      <c r="I958" s="2091" t="s">
        <v>804</v>
      </c>
    </row>
    <row r="959" spans="1:9" ht="11.25" customHeight="1">
      <c r="A959" s="2091" t="s">
        <v>2181</v>
      </c>
      <c r="B959" s="2091" t="s">
        <v>14</v>
      </c>
      <c r="C959" s="2091" t="s">
        <v>2744</v>
      </c>
      <c r="D959" s="2091" t="s">
        <v>2745</v>
      </c>
      <c r="E959" s="2091" t="s">
        <v>2746</v>
      </c>
      <c r="F959" s="2091" t="s">
        <v>2226</v>
      </c>
      <c r="G959" s="2091" t="s">
        <v>24</v>
      </c>
      <c r="H959" s="2091" t="s">
        <v>24</v>
      </c>
      <c r="I959" s="2091" t="s">
        <v>804</v>
      </c>
    </row>
    <row r="960" spans="1:9" ht="11.25" customHeight="1">
      <c r="A960" s="2091" t="s">
        <v>2181</v>
      </c>
      <c r="B960" s="2091" t="s">
        <v>14</v>
      </c>
      <c r="C960" s="2091" t="s">
        <v>3769</v>
      </c>
      <c r="D960" s="2091" t="s">
        <v>3770</v>
      </c>
      <c r="E960" s="2091" t="s">
        <v>3771</v>
      </c>
      <c r="F960" s="2091" t="s">
        <v>2242</v>
      </c>
      <c r="G960" s="2091" t="s">
        <v>24</v>
      </c>
      <c r="H960" s="2091" t="s">
        <v>24</v>
      </c>
      <c r="I960" s="2091" t="s">
        <v>804</v>
      </c>
    </row>
    <row r="961" spans="1:9" ht="11.25" customHeight="1">
      <c r="A961" s="2091" t="s">
        <v>2181</v>
      </c>
      <c r="B961" s="2091" t="s">
        <v>14</v>
      </c>
      <c r="C961" s="2091" t="s">
        <v>2747</v>
      </c>
      <c r="D961" s="2091" t="s">
        <v>2748</v>
      </c>
      <c r="E961" s="2091" t="s">
        <v>2749</v>
      </c>
      <c r="F961" s="2091" t="s">
        <v>2242</v>
      </c>
      <c r="G961" s="2091" t="s">
        <v>24</v>
      </c>
      <c r="H961" s="2091" t="s">
        <v>24</v>
      </c>
      <c r="I961" s="2091" t="s">
        <v>804</v>
      </c>
    </row>
    <row r="962" spans="1:9" ht="11.25" customHeight="1">
      <c r="A962" s="2091" t="s">
        <v>2181</v>
      </c>
      <c r="B962" s="2091" t="s">
        <v>14</v>
      </c>
      <c r="C962" s="2091" t="s">
        <v>2753</v>
      </c>
      <c r="D962" s="2091" t="s">
        <v>2754</v>
      </c>
      <c r="E962" s="2091" t="s">
        <v>2755</v>
      </c>
      <c r="F962" s="2091" t="s">
        <v>2317</v>
      </c>
      <c r="G962" s="2091" t="s">
        <v>2756</v>
      </c>
      <c r="H962" s="2091" t="s">
        <v>2757</v>
      </c>
      <c r="I962" s="2091" t="s">
        <v>804</v>
      </c>
    </row>
    <row r="963" spans="1:9" ht="11.25" customHeight="1">
      <c r="A963" s="2091" t="s">
        <v>2181</v>
      </c>
      <c r="B963" s="2091" t="s">
        <v>14</v>
      </c>
      <c r="C963" s="2091" t="s">
        <v>2764</v>
      </c>
      <c r="D963" s="2091" t="s">
        <v>2765</v>
      </c>
      <c r="E963" s="2091" t="s">
        <v>2766</v>
      </c>
      <c r="F963" s="2091" t="s">
        <v>2250</v>
      </c>
      <c r="G963" s="2091" t="s">
        <v>24</v>
      </c>
      <c r="H963" s="2091" t="s">
        <v>24</v>
      </c>
      <c r="I963" s="2091" t="s">
        <v>804</v>
      </c>
    </row>
    <row r="964" spans="1:9" ht="11.25" customHeight="1">
      <c r="A964" s="2091" t="s">
        <v>2181</v>
      </c>
      <c r="B964" s="2091" t="s">
        <v>14</v>
      </c>
      <c r="C964" s="2091" t="s">
        <v>2773</v>
      </c>
      <c r="D964" s="2091" t="s">
        <v>2774</v>
      </c>
      <c r="E964" s="2091" t="s">
        <v>2775</v>
      </c>
      <c r="F964" s="2091" t="s">
        <v>2317</v>
      </c>
      <c r="G964" s="2091" t="s">
        <v>24</v>
      </c>
      <c r="H964" s="2091" t="s">
        <v>24</v>
      </c>
      <c r="I964" s="2091" t="s">
        <v>804</v>
      </c>
    </row>
    <row r="965" spans="1:9" ht="11.25" customHeight="1">
      <c r="A965" s="2091" t="s">
        <v>2181</v>
      </c>
      <c r="B965" s="2091" t="s">
        <v>14</v>
      </c>
      <c r="C965" s="2091" t="s">
        <v>3563</v>
      </c>
      <c r="D965" s="2091" t="s">
        <v>3362</v>
      </c>
      <c r="E965" s="2091" t="s">
        <v>3564</v>
      </c>
      <c r="F965" s="2091" t="s">
        <v>3355</v>
      </c>
      <c r="G965" s="2091" t="s">
        <v>24</v>
      </c>
      <c r="H965" s="2091" t="s">
        <v>3565</v>
      </c>
      <c r="I965" s="2091" t="s">
        <v>804</v>
      </c>
    </row>
    <row r="966" spans="1:9" ht="11.25" customHeight="1">
      <c r="A966" s="2091" t="s">
        <v>2181</v>
      </c>
      <c r="B966" s="2091" t="s">
        <v>14</v>
      </c>
      <c r="C966" s="2091" t="s">
        <v>3361</v>
      </c>
      <c r="D966" s="2091" t="s">
        <v>3362</v>
      </c>
      <c r="E966" s="2091" t="s">
        <v>3363</v>
      </c>
      <c r="F966" s="2091" t="s">
        <v>2273</v>
      </c>
      <c r="G966" s="2091" t="s">
        <v>3364</v>
      </c>
      <c r="H966" s="2091" t="s">
        <v>24</v>
      </c>
      <c r="I966" s="2091" t="s">
        <v>804</v>
      </c>
    </row>
    <row r="967" spans="1:9" ht="11.25" customHeight="1">
      <c r="A967" s="2091" t="s">
        <v>2181</v>
      </c>
      <c r="B967" s="2091" t="s">
        <v>14</v>
      </c>
      <c r="C967" s="2091" t="s">
        <v>3566</v>
      </c>
      <c r="D967" s="2091" t="s">
        <v>3362</v>
      </c>
      <c r="E967" s="2091" t="s">
        <v>3567</v>
      </c>
      <c r="F967" s="2091" t="s">
        <v>2361</v>
      </c>
      <c r="G967" s="2091" t="s">
        <v>3568</v>
      </c>
      <c r="H967" s="2091" t="s">
        <v>24</v>
      </c>
      <c r="I967" s="2091" t="s">
        <v>804</v>
      </c>
    </row>
    <row r="968" spans="1:9" ht="11.25" customHeight="1">
      <c r="A968" s="2091" t="s">
        <v>2181</v>
      </c>
      <c r="B968" s="2091" t="s">
        <v>14</v>
      </c>
      <c r="C968" s="2091" t="s">
        <v>3365</v>
      </c>
      <c r="D968" s="2091" t="s">
        <v>3366</v>
      </c>
      <c r="E968" s="2091" t="s">
        <v>3367</v>
      </c>
      <c r="F968" s="2091" t="s">
        <v>3355</v>
      </c>
      <c r="G968" s="2091" t="s">
        <v>24</v>
      </c>
      <c r="H968" s="2091" t="s">
        <v>24</v>
      </c>
      <c r="I968" s="2091" t="s">
        <v>804</v>
      </c>
    </row>
    <row r="969" spans="1:9" ht="11.25" customHeight="1">
      <c r="A969" s="2091" t="s">
        <v>2181</v>
      </c>
      <c r="B969" s="2091" t="s">
        <v>14</v>
      </c>
      <c r="C969" s="2091" t="s">
        <v>2776</v>
      </c>
      <c r="D969" s="2091" t="s">
        <v>2777</v>
      </c>
      <c r="E969" s="2091" t="s">
        <v>2778</v>
      </c>
      <c r="F969" s="2091" t="s">
        <v>2317</v>
      </c>
      <c r="G969" s="2091" t="s">
        <v>24</v>
      </c>
      <c r="H969" s="2091" t="s">
        <v>24</v>
      </c>
      <c r="I969" s="2091" t="s">
        <v>804</v>
      </c>
    </row>
    <row r="970" spans="1:9" ht="11.25" customHeight="1">
      <c r="A970" s="2091" t="s">
        <v>2181</v>
      </c>
      <c r="B970" s="2091" t="s">
        <v>14</v>
      </c>
      <c r="C970" s="2091" t="s">
        <v>2779</v>
      </c>
      <c r="D970" s="2091" t="s">
        <v>2780</v>
      </c>
      <c r="E970" s="2091" t="s">
        <v>2781</v>
      </c>
      <c r="F970" s="2091" t="s">
        <v>2782</v>
      </c>
      <c r="G970" s="2091" t="s">
        <v>2783</v>
      </c>
      <c r="H970" s="2091" t="s">
        <v>24</v>
      </c>
      <c r="I970" s="2091" t="s">
        <v>804</v>
      </c>
    </row>
    <row r="971" spans="1:9" ht="11.25" customHeight="1">
      <c r="A971" s="2091" t="s">
        <v>2181</v>
      </c>
      <c r="B971" s="2091" t="s">
        <v>14</v>
      </c>
      <c r="C971" s="2091" t="s">
        <v>2784</v>
      </c>
      <c r="D971" s="2091" t="s">
        <v>2785</v>
      </c>
      <c r="E971" s="2091" t="s">
        <v>2786</v>
      </c>
      <c r="F971" s="2091" t="s">
        <v>2255</v>
      </c>
      <c r="G971" s="2091" t="s">
        <v>2787</v>
      </c>
      <c r="H971" s="2091" t="s">
        <v>24</v>
      </c>
      <c r="I971" s="2091" t="s">
        <v>804</v>
      </c>
    </row>
    <row r="972" spans="1:9" ht="11.25" customHeight="1">
      <c r="A972" s="2091" t="s">
        <v>2181</v>
      </c>
      <c r="B972" s="2091" t="s">
        <v>14</v>
      </c>
      <c r="C972" s="2091" t="s">
        <v>2788</v>
      </c>
      <c r="D972" s="2091" t="s">
        <v>2789</v>
      </c>
      <c r="E972" s="2091" t="s">
        <v>2790</v>
      </c>
      <c r="F972" s="2091" t="s">
        <v>2424</v>
      </c>
      <c r="G972" s="2091" t="s">
        <v>2791</v>
      </c>
      <c r="H972" s="2091" t="s">
        <v>24</v>
      </c>
      <c r="I972" s="2091" t="s">
        <v>804</v>
      </c>
    </row>
    <row r="973" spans="1:9" ht="11.25" customHeight="1">
      <c r="A973" s="2091" t="s">
        <v>2181</v>
      </c>
      <c r="B973" s="2091" t="s">
        <v>14</v>
      </c>
      <c r="C973" s="2091" t="s">
        <v>2795</v>
      </c>
      <c r="D973" s="2091" t="s">
        <v>2796</v>
      </c>
      <c r="E973" s="2091" t="s">
        <v>2797</v>
      </c>
      <c r="F973" s="2091" t="s">
        <v>2683</v>
      </c>
      <c r="G973" s="2091" t="s">
        <v>2798</v>
      </c>
      <c r="H973" s="2091" t="s">
        <v>2799</v>
      </c>
      <c r="I973" s="2091" t="s">
        <v>804</v>
      </c>
    </row>
    <row r="974" spans="1:9" ht="11.25" customHeight="1">
      <c r="A974" s="2091" t="s">
        <v>2181</v>
      </c>
      <c r="B974" s="2091" t="s">
        <v>14</v>
      </c>
      <c r="C974" s="2091" t="s">
        <v>3772</v>
      </c>
      <c r="D974" s="2091" t="s">
        <v>3773</v>
      </c>
      <c r="E974" s="2091" t="s">
        <v>3774</v>
      </c>
      <c r="F974" s="2091" t="s">
        <v>2361</v>
      </c>
      <c r="G974" s="2091" t="s">
        <v>24</v>
      </c>
      <c r="H974" s="2091" t="s">
        <v>24</v>
      </c>
      <c r="I974" s="2091" t="s">
        <v>804</v>
      </c>
    </row>
    <row r="975" spans="1:9" ht="11.25" customHeight="1">
      <c r="A975" s="2091" t="s">
        <v>2181</v>
      </c>
      <c r="B975" s="2091" t="s">
        <v>14</v>
      </c>
      <c r="C975" s="2091" t="s">
        <v>3775</v>
      </c>
      <c r="D975" s="2091" t="s">
        <v>3776</v>
      </c>
      <c r="E975" s="2091" t="s">
        <v>3777</v>
      </c>
      <c r="F975" s="2091" t="s">
        <v>3164</v>
      </c>
      <c r="G975" s="2091" t="s">
        <v>24</v>
      </c>
      <c r="H975" s="2091" t="s">
        <v>24</v>
      </c>
      <c r="I975" s="2091" t="s">
        <v>804</v>
      </c>
    </row>
    <row r="976" spans="1:9" ht="11.25" customHeight="1">
      <c r="A976" s="2091" t="s">
        <v>2181</v>
      </c>
      <c r="B976" s="2091" t="s">
        <v>14</v>
      </c>
      <c r="C976" s="2091" t="s">
        <v>2803</v>
      </c>
      <c r="D976" s="2091" t="s">
        <v>2804</v>
      </c>
      <c r="E976" s="2091" t="s">
        <v>2805</v>
      </c>
      <c r="F976" s="2091" t="s">
        <v>2405</v>
      </c>
      <c r="G976" s="2091" t="s">
        <v>24</v>
      </c>
      <c r="H976" s="2091" t="s">
        <v>24</v>
      </c>
      <c r="I976" s="2091" t="s">
        <v>804</v>
      </c>
    </row>
    <row r="977" spans="1:9" ht="11.25" customHeight="1">
      <c r="A977" s="2091" t="s">
        <v>2181</v>
      </c>
      <c r="B977" s="2091" t="s">
        <v>14</v>
      </c>
      <c r="C977" s="2091" t="s">
        <v>3578</v>
      </c>
      <c r="D977" s="2091" t="s">
        <v>3579</v>
      </c>
      <c r="E977" s="2091" t="s">
        <v>3580</v>
      </c>
      <c r="F977" s="2091" t="s">
        <v>2361</v>
      </c>
      <c r="G977" s="2091" t="s">
        <v>24</v>
      </c>
      <c r="H977" s="2091" t="s">
        <v>24</v>
      </c>
      <c r="I977" s="2091" t="s">
        <v>804</v>
      </c>
    </row>
    <row r="978" spans="1:9" ht="11.25" customHeight="1">
      <c r="A978" s="2091" t="s">
        <v>2181</v>
      </c>
      <c r="B978" s="2091" t="s">
        <v>14</v>
      </c>
      <c r="C978" s="2091" t="s">
        <v>2806</v>
      </c>
      <c r="D978" s="2091" t="s">
        <v>2807</v>
      </c>
      <c r="E978" s="2091" t="s">
        <v>2808</v>
      </c>
      <c r="F978" s="2091" t="s">
        <v>2185</v>
      </c>
      <c r="G978" s="2091" t="s">
        <v>2809</v>
      </c>
      <c r="H978" s="2091" t="s">
        <v>24</v>
      </c>
      <c r="I978" s="2091" t="s">
        <v>804</v>
      </c>
    </row>
    <row r="979" spans="1:9" ht="11.25" customHeight="1">
      <c r="A979" s="2091" t="s">
        <v>2181</v>
      </c>
      <c r="B979" s="2091" t="s">
        <v>14</v>
      </c>
      <c r="C979" s="2091" t="s">
        <v>2810</v>
      </c>
      <c r="D979" s="2091" t="s">
        <v>2811</v>
      </c>
      <c r="E979" s="2091" t="s">
        <v>2812</v>
      </c>
      <c r="F979" s="2091" t="s">
        <v>2383</v>
      </c>
      <c r="G979" s="2091" t="s">
        <v>24</v>
      </c>
      <c r="H979" s="2091" t="s">
        <v>24</v>
      </c>
      <c r="I979" s="2091" t="s">
        <v>804</v>
      </c>
    </row>
    <row r="980" spans="1:9" ht="11.25" customHeight="1">
      <c r="A980" s="2091" t="s">
        <v>2181</v>
      </c>
      <c r="B980" s="2091" t="s">
        <v>14</v>
      </c>
      <c r="C980" s="2091" t="s">
        <v>2821</v>
      </c>
      <c r="D980" s="2091" t="s">
        <v>2822</v>
      </c>
      <c r="E980" s="2091" t="s">
        <v>2823</v>
      </c>
      <c r="F980" s="2091" t="s">
        <v>2451</v>
      </c>
      <c r="G980" s="2091" t="s">
        <v>2824</v>
      </c>
      <c r="H980" s="2091" t="s">
        <v>24</v>
      </c>
      <c r="I980" s="2091" t="s">
        <v>804</v>
      </c>
    </row>
    <row r="981" spans="1:9" ht="11.25" customHeight="1">
      <c r="A981" s="2091" t="s">
        <v>2181</v>
      </c>
      <c r="B981" s="2091" t="s">
        <v>14</v>
      </c>
      <c r="C981" s="2091" t="s">
        <v>2825</v>
      </c>
      <c r="D981" s="2091" t="s">
        <v>2826</v>
      </c>
      <c r="E981" s="2091" t="s">
        <v>2827</v>
      </c>
      <c r="F981" s="2091" t="s">
        <v>2828</v>
      </c>
      <c r="G981" s="2091" t="s">
        <v>2829</v>
      </c>
      <c r="H981" s="2091" t="s">
        <v>24</v>
      </c>
      <c r="I981" s="2091" t="s">
        <v>804</v>
      </c>
    </row>
    <row r="982" spans="1:9" ht="11.25" customHeight="1">
      <c r="A982" s="2091" t="s">
        <v>2181</v>
      </c>
      <c r="B982" s="2091" t="s">
        <v>14</v>
      </c>
      <c r="C982" s="2091" t="s">
        <v>2830</v>
      </c>
      <c r="D982" s="2091" t="s">
        <v>2831</v>
      </c>
      <c r="E982" s="2091" t="s">
        <v>2832</v>
      </c>
      <c r="F982" s="2091" t="s">
        <v>2833</v>
      </c>
      <c r="G982" s="2091" t="s">
        <v>24</v>
      </c>
      <c r="H982" s="2091" t="s">
        <v>24</v>
      </c>
      <c r="I982" s="2091" t="s">
        <v>804</v>
      </c>
    </row>
    <row r="983" spans="1:9" ht="11.25" customHeight="1">
      <c r="A983" s="2091" t="s">
        <v>2181</v>
      </c>
      <c r="B983" s="2091" t="s">
        <v>14</v>
      </c>
      <c r="C983" s="2091" t="s">
        <v>3584</v>
      </c>
      <c r="D983" s="2091" t="s">
        <v>3585</v>
      </c>
      <c r="E983" s="2091" t="s">
        <v>3586</v>
      </c>
      <c r="F983" s="2091" t="s">
        <v>2226</v>
      </c>
      <c r="G983" s="2091" t="s">
        <v>24</v>
      </c>
      <c r="H983" s="2091" t="s">
        <v>24</v>
      </c>
      <c r="I983" s="2091" t="s">
        <v>804</v>
      </c>
    </row>
    <row r="984" spans="1:9" ht="11.25" customHeight="1">
      <c r="A984" s="2091" t="s">
        <v>2181</v>
      </c>
      <c r="B984" s="2091" t="s">
        <v>14</v>
      </c>
      <c r="C984" s="2091" t="s">
        <v>2837</v>
      </c>
      <c r="D984" s="2091" t="s">
        <v>2838</v>
      </c>
      <c r="E984" s="2091" t="s">
        <v>2839</v>
      </c>
      <c r="F984" s="2091" t="s">
        <v>2512</v>
      </c>
      <c r="G984" s="2091" t="s">
        <v>2840</v>
      </c>
      <c r="H984" s="2091" t="s">
        <v>24</v>
      </c>
      <c r="I984" s="2091" t="s">
        <v>804</v>
      </c>
    </row>
    <row r="985" spans="1:9" ht="11.25" customHeight="1">
      <c r="A985" s="2091" t="s">
        <v>2181</v>
      </c>
      <c r="B985" s="2091" t="s">
        <v>14</v>
      </c>
      <c r="C985" s="2091" t="s">
        <v>2849</v>
      </c>
      <c r="D985" s="2091" t="s">
        <v>2850</v>
      </c>
      <c r="E985" s="2091" t="s">
        <v>2851</v>
      </c>
      <c r="F985" s="2091" t="s">
        <v>2852</v>
      </c>
      <c r="G985" s="2091" t="s">
        <v>2853</v>
      </c>
      <c r="H985" s="2091" t="s">
        <v>2854</v>
      </c>
      <c r="I985" s="2091" t="s">
        <v>804</v>
      </c>
    </row>
    <row r="986" spans="1:9" ht="11.25" customHeight="1">
      <c r="A986" s="2091" t="s">
        <v>2181</v>
      </c>
      <c r="B986" s="2091" t="s">
        <v>14</v>
      </c>
      <c r="C986" s="2091" t="s">
        <v>2858</v>
      </c>
      <c r="D986" s="2091" t="s">
        <v>2859</v>
      </c>
      <c r="E986" s="2091" t="s">
        <v>2860</v>
      </c>
      <c r="F986" s="2091" t="s">
        <v>2852</v>
      </c>
      <c r="G986" s="2091" t="s">
        <v>24</v>
      </c>
      <c r="H986" s="2091" t="s">
        <v>24</v>
      </c>
      <c r="I986" s="2091" t="s">
        <v>804</v>
      </c>
    </row>
    <row r="987" spans="1:9" ht="11.25" customHeight="1">
      <c r="A987" s="2091" t="s">
        <v>2181</v>
      </c>
      <c r="B987" s="2091" t="s">
        <v>14</v>
      </c>
      <c r="C987" s="2091" t="s">
        <v>2867</v>
      </c>
      <c r="D987" s="2091" t="s">
        <v>2868</v>
      </c>
      <c r="E987" s="2091" t="s">
        <v>2869</v>
      </c>
      <c r="F987" s="2091" t="s">
        <v>2334</v>
      </c>
      <c r="G987" s="2091" t="s">
        <v>2870</v>
      </c>
      <c r="H987" s="2091" t="s">
        <v>24</v>
      </c>
      <c r="I987" s="2091" t="s">
        <v>804</v>
      </c>
    </row>
    <row r="988" spans="1:9" ht="11.25" customHeight="1">
      <c r="A988" s="2091" t="s">
        <v>2181</v>
      </c>
      <c r="B988" s="2091" t="s">
        <v>14</v>
      </c>
      <c r="C988" s="2091" t="s">
        <v>2871</v>
      </c>
      <c r="D988" s="2091" t="s">
        <v>2872</v>
      </c>
      <c r="E988" s="2091" t="s">
        <v>2873</v>
      </c>
      <c r="F988" s="2091" t="s">
        <v>2185</v>
      </c>
      <c r="G988" s="2091" t="s">
        <v>24</v>
      </c>
      <c r="H988" s="2091" t="s">
        <v>24</v>
      </c>
      <c r="I988" s="2091" t="s">
        <v>804</v>
      </c>
    </row>
    <row r="989" spans="1:9" ht="11.25" customHeight="1">
      <c r="A989" s="2091" t="s">
        <v>2181</v>
      </c>
      <c r="B989" s="2091" t="s">
        <v>14</v>
      </c>
      <c r="C989" s="2091" t="s">
        <v>2874</v>
      </c>
      <c r="D989" s="2091" t="s">
        <v>2875</v>
      </c>
      <c r="E989" s="2091" t="s">
        <v>2876</v>
      </c>
      <c r="F989" s="2091" t="s">
        <v>2218</v>
      </c>
      <c r="G989" s="2091" t="s">
        <v>24</v>
      </c>
      <c r="H989" s="2091" t="s">
        <v>24</v>
      </c>
      <c r="I989" s="2091" t="s">
        <v>804</v>
      </c>
    </row>
    <row r="990" spans="1:9" ht="11.25" customHeight="1">
      <c r="A990" s="2091" t="s">
        <v>2181</v>
      </c>
      <c r="B990" s="2091" t="s">
        <v>14</v>
      </c>
      <c r="C990" s="2091" t="s">
        <v>2877</v>
      </c>
      <c r="D990" s="2091" t="s">
        <v>2878</v>
      </c>
      <c r="E990" s="2091" t="s">
        <v>2879</v>
      </c>
      <c r="F990" s="2091" t="s">
        <v>2880</v>
      </c>
      <c r="G990" s="2091" t="s">
        <v>24</v>
      </c>
      <c r="H990" s="2091" t="s">
        <v>24</v>
      </c>
      <c r="I990" s="2091" t="s">
        <v>804</v>
      </c>
    </row>
    <row r="991" spans="1:9" ht="11.25" customHeight="1">
      <c r="A991" s="2091" t="s">
        <v>2181</v>
      </c>
      <c r="B991" s="2091" t="s">
        <v>14</v>
      </c>
      <c r="C991" s="2091" t="s">
        <v>2881</v>
      </c>
      <c r="D991" s="2091" t="s">
        <v>2882</v>
      </c>
      <c r="E991" s="2091" t="s">
        <v>2883</v>
      </c>
      <c r="F991" s="2091" t="s">
        <v>2293</v>
      </c>
      <c r="G991" s="2091" t="s">
        <v>24</v>
      </c>
      <c r="H991" s="2091" t="s">
        <v>24</v>
      </c>
      <c r="I991" s="2091" t="s">
        <v>804</v>
      </c>
    </row>
    <row r="992" spans="1:9" ht="11.25" customHeight="1">
      <c r="A992" s="2091" t="s">
        <v>2181</v>
      </c>
      <c r="B992" s="2091" t="s">
        <v>14</v>
      </c>
      <c r="C992" s="2091" t="s">
        <v>2890</v>
      </c>
      <c r="D992" s="2091" t="s">
        <v>2891</v>
      </c>
      <c r="E992" s="2091" t="s">
        <v>2892</v>
      </c>
      <c r="F992" s="2091" t="s">
        <v>2424</v>
      </c>
      <c r="G992" s="2091" t="s">
        <v>24</v>
      </c>
      <c r="H992" s="2091" t="s">
        <v>2893</v>
      </c>
      <c r="I992" s="2091" t="s">
        <v>804</v>
      </c>
    </row>
    <row r="993" spans="1:9" ht="11.25" customHeight="1">
      <c r="A993" s="2091" t="s">
        <v>2181</v>
      </c>
      <c r="B993" s="2091" t="s">
        <v>14</v>
      </c>
      <c r="C993" s="2091" t="s">
        <v>2897</v>
      </c>
      <c r="D993" s="2091" t="s">
        <v>2898</v>
      </c>
      <c r="E993" s="2091" t="s">
        <v>2899</v>
      </c>
      <c r="F993" s="2091" t="s">
        <v>2218</v>
      </c>
      <c r="G993" s="2091" t="s">
        <v>2900</v>
      </c>
      <c r="H993" s="2091" t="s">
        <v>24</v>
      </c>
      <c r="I993" s="2091" t="s">
        <v>804</v>
      </c>
    </row>
    <row r="994" spans="1:9" ht="11.25" customHeight="1">
      <c r="A994" s="2091" t="s">
        <v>2181</v>
      </c>
      <c r="B994" s="2091" t="s">
        <v>14</v>
      </c>
      <c r="C994" s="2091" t="s">
        <v>3587</v>
      </c>
      <c r="D994" s="2091" t="s">
        <v>3588</v>
      </c>
      <c r="E994" s="2091" t="s">
        <v>3589</v>
      </c>
      <c r="F994" s="2091" t="s">
        <v>2218</v>
      </c>
      <c r="G994" s="2091" t="s">
        <v>24</v>
      </c>
      <c r="H994" s="2091" t="s">
        <v>24</v>
      </c>
      <c r="I994" s="2091" t="s">
        <v>804</v>
      </c>
    </row>
    <row r="995" spans="1:9" ht="11.25" customHeight="1">
      <c r="A995" s="2091" t="s">
        <v>2181</v>
      </c>
      <c r="B995" s="2091" t="s">
        <v>14</v>
      </c>
      <c r="C995" s="2091" t="s">
        <v>2910</v>
      </c>
      <c r="D995" s="2091" t="s">
        <v>2911</v>
      </c>
      <c r="E995" s="2091" t="s">
        <v>2912</v>
      </c>
      <c r="F995" s="2091" t="s">
        <v>2293</v>
      </c>
      <c r="G995" s="2091" t="s">
        <v>24</v>
      </c>
      <c r="H995" s="2091" t="s">
        <v>24</v>
      </c>
      <c r="I995" s="2091" t="s">
        <v>804</v>
      </c>
    </row>
    <row r="996" spans="1:9" ht="11.25" customHeight="1">
      <c r="A996" s="2091" t="s">
        <v>2181</v>
      </c>
      <c r="B996" s="2091" t="s">
        <v>14</v>
      </c>
      <c r="C996" s="2091" t="s">
        <v>2913</v>
      </c>
      <c r="D996" s="2091" t="s">
        <v>2914</v>
      </c>
      <c r="E996" s="2091" t="s">
        <v>2915</v>
      </c>
      <c r="F996" s="2091" t="s">
        <v>2679</v>
      </c>
      <c r="G996" s="2091" t="s">
        <v>24</v>
      </c>
      <c r="H996" s="2091" t="s">
        <v>24</v>
      </c>
      <c r="I996" s="2091" t="s">
        <v>804</v>
      </c>
    </row>
    <row r="997" spans="1:9" ht="11.25" customHeight="1">
      <c r="A997" s="2091" t="s">
        <v>2181</v>
      </c>
      <c r="B997" s="2091" t="s">
        <v>14</v>
      </c>
      <c r="C997" s="2091" t="s">
        <v>3778</v>
      </c>
      <c r="D997" s="2091" t="s">
        <v>3779</v>
      </c>
      <c r="E997" s="2091" t="s">
        <v>3780</v>
      </c>
      <c r="F997" s="2091" t="s">
        <v>2683</v>
      </c>
      <c r="G997" s="2091" t="s">
        <v>24</v>
      </c>
      <c r="H997" s="2091" t="s">
        <v>24</v>
      </c>
      <c r="I997" s="2091" t="s">
        <v>804</v>
      </c>
    </row>
    <row r="998" spans="1:9" ht="11.25" customHeight="1">
      <c r="A998" s="2091" t="s">
        <v>2181</v>
      </c>
      <c r="B998" s="2091" t="s">
        <v>14</v>
      </c>
      <c r="C998" s="2091" t="s">
        <v>2919</v>
      </c>
      <c r="D998" s="2091" t="s">
        <v>2920</v>
      </c>
      <c r="E998" s="2091" t="s">
        <v>2921</v>
      </c>
      <c r="F998" s="2091" t="s">
        <v>2255</v>
      </c>
      <c r="G998" s="2091" t="s">
        <v>24</v>
      </c>
      <c r="H998" s="2091" t="s">
        <v>24</v>
      </c>
      <c r="I998" s="2091" t="s">
        <v>804</v>
      </c>
    </row>
    <row r="999" spans="1:9" ht="11.25" customHeight="1">
      <c r="A999" s="2091" t="s">
        <v>2181</v>
      </c>
      <c r="B999" s="2091" t="s">
        <v>14</v>
      </c>
      <c r="C999" s="2091" t="s">
        <v>3781</v>
      </c>
      <c r="D999" s="2091" t="s">
        <v>3782</v>
      </c>
      <c r="E999" s="2091" t="s">
        <v>3783</v>
      </c>
      <c r="F999" s="2091" t="s">
        <v>3784</v>
      </c>
      <c r="G999" s="2091" t="s">
        <v>24</v>
      </c>
      <c r="H999" s="2091" t="s">
        <v>24</v>
      </c>
      <c r="I999" s="2091" t="s">
        <v>804</v>
      </c>
    </row>
    <row r="1000" spans="1:9" ht="11.25" customHeight="1">
      <c r="A1000" s="2091" t="s">
        <v>2181</v>
      </c>
      <c r="B1000" s="2091" t="s">
        <v>14</v>
      </c>
      <c r="C1000" s="2091" t="s">
        <v>2928</v>
      </c>
      <c r="D1000" s="2091" t="s">
        <v>2929</v>
      </c>
      <c r="E1000" s="2091" t="s">
        <v>2930</v>
      </c>
      <c r="F1000" s="2091" t="s">
        <v>2255</v>
      </c>
      <c r="G1000" s="2091" t="s">
        <v>2931</v>
      </c>
      <c r="H1000" s="2091" t="s">
        <v>24</v>
      </c>
      <c r="I1000" s="2091" t="s">
        <v>804</v>
      </c>
    </row>
    <row r="1001" spans="1:9" ht="11.25" customHeight="1">
      <c r="A1001" s="2091" t="s">
        <v>2181</v>
      </c>
      <c r="B1001" s="2091" t="s">
        <v>14</v>
      </c>
      <c r="C1001" s="2091" t="s">
        <v>2932</v>
      </c>
      <c r="D1001" s="2091" t="s">
        <v>2933</v>
      </c>
      <c r="E1001" s="2091" t="s">
        <v>2934</v>
      </c>
      <c r="F1001" s="2091" t="s">
        <v>2679</v>
      </c>
      <c r="G1001" s="2091" t="s">
        <v>24</v>
      </c>
      <c r="H1001" s="2091" t="s">
        <v>24</v>
      </c>
      <c r="I1001" s="2091" t="s">
        <v>804</v>
      </c>
    </row>
    <row r="1002" spans="1:9" ht="11.25" customHeight="1">
      <c r="A1002" s="2091" t="s">
        <v>2181</v>
      </c>
      <c r="B1002" s="2091" t="s">
        <v>14</v>
      </c>
      <c r="C1002" s="2091" t="s">
        <v>3785</v>
      </c>
      <c r="D1002" s="2091" t="s">
        <v>3786</v>
      </c>
      <c r="E1002" s="2091" t="s">
        <v>3787</v>
      </c>
      <c r="F1002" s="2091" t="s">
        <v>2535</v>
      </c>
      <c r="G1002" s="2091" t="s">
        <v>24</v>
      </c>
      <c r="H1002" s="2091" t="s">
        <v>24</v>
      </c>
      <c r="I1002" s="2091" t="s">
        <v>804</v>
      </c>
    </row>
    <row r="1003" spans="1:9" ht="11.25" customHeight="1">
      <c r="A1003" s="2091" t="s">
        <v>2181</v>
      </c>
      <c r="B1003" s="2091" t="s">
        <v>14</v>
      </c>
      <c r="C1003" s="2091" t="s">
        <v>2944</v>
      </c>
      <c r="D1003" s="2091" t="s">
        <v>2945</v>
      </c>
      <c r="E1003" s="2091" t="s">
        <v>2946</v>
      </c>
      <c r="F1003" s="2091" t="s">
        <v>2198</v>
      </c>
      <c r="G1003" s="2091" t="s">
        <v>24</v>
      </c>
      <c r="H1003" s="2091" t="s">
        <v>24</v>
      </c>
      <c r="I1003" s="2091" t="s">
        <v>804</v>
      </c>
    </row>
    <row r="1004" spans="1:9" ht="11.25" customHeight="1">
      <c r="A1004" s="2091" t="s">
        <v>2181</v>
      </c>
      <c r="B1004" s="2091" t="s">
        <v>14</v>
      </c>
      <c r="C1004" s="2091" t="s">
        <v>3788</v>
      </c>
      <c r="D1004" s="2091" t="s">
        <v>3789</v>
      </c>
      <c r="E1004" s="2091" t="s">
        <v>3790</v>
      </c>
      <c r="F1004" s="2091" t="s">
        <v>2683</v>
      </c>
      <c r="G1004" s="2091" t="s">
        <v>24</v>
      </c>
      <c r="H1004" s="2091" t="s">
        <v>24</v>
      </c>
      <c r="I1004" s="2091" t="s">
        <v>804</v>
      </c>
    </row>
    <row r="1005" spans="1:9" ht="11.25" customHeight="1">
      <c r="A1005" s="2091" t="s">
        <v>2181</v>
      </c>
      <c r="B1005" s="2091" t="s">
        <v>14</v>
      </c>
      <c r="C1005" s="2091" t="s">
        <v>2947</v>
      </c>
      <c r="D1005" s="2091" t="s">
        <v>2948</v>
      </c>
      <c r="E1005" s="2091" t="s">
        <v>2949</v>
      </c>
      <c r="F1005" s="2091" t="s">
        <v>2343</v>
      </c>
      <c r="G1005" s="2091" t="s">
        <v>24</v>
      </c>
      <c r="H1005" s="2091" t="s">
        <v>24</v>
      </c>
      <c r="I1005" s="2091" t="s">
        <v>804</v>
      </c>
    </row>
    <row r="1006" spans="1:9" ht="11.25" customHeight="1">
      <c r="A1006" s="2091" t="s">
        <v>2181</v>
      </c>
      <c r="B1006" s="2091" t="s">
        <v>14</v>
      </c>
      <c r="C1006" s="2091" t="s">
        <v>2953</v>
      </c>
      <c r="D1006" s="2091" t="s">
        <v>2954</v>
      </c>
      <c r="E1006" s="2091" t="s">
        <v>2955</v>
      </c>
      <c r="F1006" s="2091" t="s">
        <v>2725</v>
      </c>
      <c r="G1006" s="2091" t="s">
        <v>2956</v>
      </c>
      <c r="H1006" s="2091" t="s">
        <v>24</v>
      </c>
      <c r="I1006" s="2091" t="s">
        <v>804</v>
      </c>
    </row>
    <row r="1007" spans="1:9" ht="11.25" customHeight="1">
      <c r="A1007" s="2091" t="s">
        <v>2181</v>
      </c>
      <c r="B1007" s="2091" t="s">
        <v>14</v>
      </c>
      <c r="C1007" s="2091" t="s">
        <v>2960</v>
      </c>
      <c r="D1007" s="2091" t="s">
        <v>2961</v>
      </c>
      <c r="E1007" s="2091" t="s">
        <v>2962</v>
      </c>
      <c r="F1007" s="2091" t="s">
        <v>2343</v>
      </c>
      <c r="G1007" s="2091" t="s">
        <v>2963</v>
      </c>
      <c r="H1007" s="2091" t="s">
        <v>24</v>
      </c>
      <c r="I1007" s="2091" t="s">
        <v>804</v>
      </c>
    </row>
    <row r="1008" spans="1:9" ht="11.25" customHeight="1">
      <c r="A1008" s="2091" t="s">
        <v>2181</v>
      </c>
      <c r="B1008" s="2091" t="s">
        <v>14</v>
      </c>
      <c r="C1008" s="2091" t="s">
        <v>2967</v>
      </c>
      <c r="D1008" s="2091" t="s">
        <v>2968</v>
      </c>
      <c r="E1008" s="2091" t="s">
        <v>2969</v>
      </c>
      <c r="F1008" s="2091" t="s">
        <v>2226</v>
      </c>
      <c r="G1008" s="2091" t="s">
        <v>24</v>
      </c>
      <c r="H1008" s="2091" t="s">
        <v>24</v>
      </c>
      <c r="I1008" s="2091" t="s">
        <v>804</v>
      </c>
    </row>
    <row r="1009" spans="1:9" ht="11.25" customHeight="1">
      <c r="A1009" s="2091" t="s">
        <v>2181</v>
      </c>
      <c r="B1009" s="2091" t="s">
        <v>14</v>
      </c>
      <c r="C1009" s="2091" t="s">
        <v>2970</v>
      </c>
      <c r="D1009" s="2091" t="s">
        <v>2971</v>
      </c>
      <c r="E1009" s="2091" t="s">
        <v>2972</v>
      </c>
      <c r="F1009" s="2091" t="s">
        <v>2343</v>
      </c>
      <c r="G1009" s="2091" t="s">
        <v>24</v>
      </c>
      <c r="H1009" s="2091" t="s">
        <v>24</v>
      </c>
      <c r="I1009" s="2091" t="s">
        <v>804</v>
      </c>
    </row>
    <row r="1010" spans="1:9" ht="11.25" customHeight="1">
      <c r="A1010" s="2091" t="s">
        <v>2181</v>
      </c>
      <c r="B1010" s="2091" t="s">
        <v>14</v>
      </c>
      <c r="C1010" s="2091" t="s">
        <v>3791</v>
      </c>
      <c r="D1010" s="2091" t="s">
        <v>2974</v>
      </c>
      <c r="E1010" s="2091" t="s">
        <v>3792</v>
      </c>
      <c r="F1010" s="2091" t="s">
        <v>2468</v>
      </c>
      <c r="G1010" s="2091" t="s">
        <v>24</v>
      </c>
      <c r="H1010" s="2091" t="s">
        <v>24</v>
      </c>
      <c r="I1010" s="2091" t="s">
        <v>804</v>
      </c>
    </row>
    <row r="1011" spans="1:9" ht="11.25" customHeight="1">
      <c r="A1011" s="2091" t="s">
        <v>2181</v>
      </c>
      <c r="B1011" s="2091" t="s">
        <v>14</v>
      </c>
      <c r="C1011" s="2091" t="s">
        <v>2976</v>
      </c>
      <c r="D1011" s="2091" t="s">
        <v>2977</v>
      </c>
      <c r="E1011" s="2091" t="s">
        <v>2978</v>
      </c>
      <c r="F1011" s="2091" t="s">
        <v>2679</v>
      </c>
      <c r="G1011" s="2091" t="s">
        <v>2979</v>
      </c>
      <c r="H1011" s="2091" t="s">
        <v>24</v>
      </c>
      <c r="I1011" s="2091" t="s">
        <v>804</v>
      </c>
    </row>
    <row r="1012" spans="1:9" ht="11.25" customHeight="1">
      <c r="A1012" s="2091" t="s">
        <v>2181</v>
      </c>
      <c r="B1012" s="2091" t="s">
        <v>14</v>
      </c>
      <c r="C1012" s="2091" t="s">
        <v>2980</v>
      </c>
      <c r="D1012" s="2091" t="s">
        <v>2981</v>
      </c>
      <c r="E1012" s="2091" t="s">
        <v>2982</v>
      </c>
      <c r="F1012" s="2091" t="s">
        <v>2683</v>
      </c>
      <c r="G1012" s="2091" t="s">
        <v>2983</v>
      </c>
      <c r="H1012" s="2091" t="s">
        <v>24</v>
      </c>
      <c r="I1012" s="2091" t="s">
        <v>804</v>
      </c>
    </row>
    <row r="1013" spans="1:9" ht="11.25" customHeight="1">
      <c r="A1013" s="2091" t="s">
        <v>2181</v>
      </c>
      <c r="B1013" s="2091" t="s">
        <v>14</v>
      </c>
      <c r="C1013" s="2091" t="s">
        <v>2984</v>
      </c>
      <c r="D1013" s="2091" t="s">
        <v>2985</v>
      </c>
      <c r="E1013" s="2091" t="s">
        <v>2986</v>
      </c>
      <c r="F1013" s="2091" t="s">
        <v>2218</v>
      </c>
      <c r="G1013" s="2091" t="s">
        <v>24</v>
      </c>
      <c r="H1013" s="2091" t="s">
        <v>24</v>
      </c>
      <c r="I1013" s="2091" t="s">
        <v>804</v>
      </c>
    </row>
    <row r="1014" spans="1:9" ht="11.25" customHeight="1">
      <c r="A1014" s="2091" t="s">
        <v>2181</v>
      </c>
      <c r="B1014" s="2091" t="s">
        <v>14</v>
      </c>
      <c r="C1014" s="2091" t="s">
        <v>2996</v>
      </c>
      <c r="D1014" s="2091" t="s">
        <v>2997</v>
      </c>
      <c r="E1014" s="2091" t="s">
        <v>2998</v>
      </c>
      <c r="F1014" s="2091" t="s">
        <v>2679</v>
      </c>
      <c r="G1014" s="2091" t="s">
        <v>2999</v>
      </c>
      <c r="H1014" s="2091" t="s">
        <v>24</v>
      </c>
      <c r="I1014" s="2091" t="s">
        <v>804</v>
      </c>
    </row>
    <row r="1015" spans="1:9" ht="11.25" customHeight="1">
      <c r="A1015" s="2091" t="s">
        <v>2181</v>
      </c>
      <c r="B1015" s="2091" t="s">
        <v>14</v>
      </c>
      <c r="C1015" s="2091" t="s">
        <v>3612</v>
      </c>
      <c r="D1015" s="2091" t="s">
        <v>2997</v>
      </c>
      <c r="E1015" s="2091" t="s">
        <v>3613</v>
      </c>
      <c r="F1015" s="2091" t="s">
        <v>2372</v>
      </c>
      <c r="G1015" s="2091" t="s">
        <v>24</v>
      </c>
      <c r="H1015" s="2091" t="s">
        <v>24</v>
      </c>
      <c r="I1015" s="2091" t="s">
        <v>804</v>
      </c>
    </row>
    <row r="1016" spans="1:9" ht="11.25" customHeight="1">
      <c r="A1016" s="2091" t="s">
        <v>2181</v>
      </c>
      <c r="B1016" s="2091" t="s">
        <v>14</v>
      </c>
      <c r="C1016" s="2091" t="s">
        <v>3793</v>
      </c>
      <c r="D1016" s="2091" t="s">
        <v>3794</v>
      </c>
      <c r="E1016" s="2091" t="s">
        <v>3795</v>
      </c>
      <c r="F1016" s="2091" t="s">
        <v>3471</v>
      </c>
      <c r="G1016" s="2091" t="s">
        <v>24</v>
      </c>
      <c r="H1016" s="2091" t="s">
        <v>24</v>
      </c>
      <c r="I1016" s="2091" t="s">
        <v>804</v>
      </c>
    </row>
    <row r="1017" spans="1:9" ht="11.25" customHeight="1">
      <c r="A1017" s="2091" t="s">
        <v>2181</v>
      </c>
      <c r="B1017" s="2091" t="s">
        <v>14</v>
      </c>
      <c r="C1017" s="2091" t="s">
        <v>3000</v>
      </c>
      <c r="D1017" s="2091" t="s">
        <v>3001</v>
      </c>
      <c r="E1017" s="2091" t="s">
        <v>3002</v>
      </c>
      <c r="F1017" s="2091" t="s">
        <v>2383</v>
      </c>
      <c r="G1017" s="2091" t="s">
        <v>24</v>
      </c>
      <c r="H1017" s="2091" t="s">
        <v>24</v>
      </c>
      <c r="I1017" s="2091" t="s">
        <v>804</v>
      </c>
    </row>
    <row r="1018" spans="1:9" ht="11.25" customHeight="1">
      <c r="A1018" s="2091" t="s">
        <v>2181</v>
      </c>
      <c r="B1018" s="2091" t="s">
        <v>14</v>
      </c>
      <c r="C1018" s="2091" t="s">
        <v>3003</v>
      </c>
      <c r="D1018" s="2091" t="s">
        <v>3004</v>
      </c>
      <c r="E1018" s="2091" t="s">
        <v>3005</v>
      </c>
      <c r="F1018" s="2091" t="s">
        <v>2255</v>
      </c>
      <c r="G1018" s="2091" t="s">
        <v>24</v>
      </c>
      <c r="H1018" s="2091" t="s">
        <v>24</v>
      </c>
      <c r="I1018" s="2091" t="s">
        <v>804</v>
      </c>
    </row>
    <row r="1019" spans="1:9" ht="11.25" customHeight="1">
      <c r="A1019" s="2091" t="s">
        <v>2181</v>
      </c>
      <c r="B1019" s="2091" t="s">
        <v>14</v>
      </c>
      <c r="C1019" s="2091" t="s">
        <v>3614</v>
      </c>
      <c r="D1019" s="2091" t="s">
        <v>3615</v>
      </c>
      <c r="E1019" s="2091" t="s">
        <v>3616</v>
      </c>
      <c r="F1019" s="2091" t="s">
        <v>2185</v>
      </c>
      <c r="G1019" s="2091" t="s">
        <v>24</v>
      </c>
      <c r="H1019" s="2091" t="s">
        <v>24</v>
      </c>
      <c r="I1019" s="2091" t="s">
        <v>804</v>
      </c>
    </row>
    <row r="1020" spans="1:9" ht="11.25" customHeight="1">
      <c r="A1020" s="2091" t="s">
        <v>2181</v>
      </c>
      <c r="B1020" s="2091" t="s">
        <v>14</v>
      </c>
      <c r="C1020" s="2091" t="s">
        <v>3617</v>
      </c>
      <c r="D1020" s="2091" t="s">
        <v>3618</v>
      </c>
      <c r="E1020" s="2091" t="s">
        <v>3619</v>
      </c>
      <c r="F1020" s="2091" t="s">
        <v>2365</v>
      </c>
      <c r="G1020" s="2091" t="s">
        <v>24</v>
      </c>
      <c r="H1020" s="2091" t="s">
        <v>24</v>
      </c>
      <c r="I1020" s="2091" t="s">
        <v>804</v>
      </c>
    </row>
    <row r="1021" spans="1:9" ht="11.25" customHeight="1">
      <c r="A1021" s="2091" t="s">
        <v>2181</v>
      </c>
      <c r="B1021" s="2091" t="s">
        <v>14</v>
      </c>
      <c r="C1021" s="2091" t="s">
        <v>3038</v>
      </c>
      <c r="D1021" s="2091" t="s">
        <v>3039</v>
      </c>
      <c r="E1021" s="2091" t="s">
        <v>3040</v>
      </c>
      <c r="F1021" s="2091" t="s">
        <v>2334</v>
      </c>
      <c r="G1021" s="2091" t="s">
        <v>24</v>
      </c>
      <c r="H1021" s="2091" t="s">
        <v>24</v>
      </c>
      <c r="I1021" s="2091" t="s">
        <v>804</v>
      </c>
    </row>
    <row r="1022" spans="1:9" ht="11.25" customHeight="1">
      <c r="A1022" s="2091" t="s">
        <v>2181</v>
      </c>
      <c r="B1022" s="2091" t="s">
        <v>14</v>
      </c>
      <c r="C1022" s="2091" t="s">
        <v>3050</v>
      </c>
      <c r="D1022" s="2091" t="s">
        <v>3051</v>
      </c>
      <c r="E1022" s="2091" t="s">
        <v>3052</v>
      </c>
      <c r="F1022" s="2091" t="s">
        <v>2255</v>
      </c>
      <c r="G1022" s="2091" t="s">
        <v>3053</v>
      </c>
      <c r="H1022" s="2091" t="s">
        <v>24</v>
      </c>
      <c r="I1022" s="2091" t="s">
        <v>804</v>
      </c>
    </row>
    <row r="1023" spans="1:9" ht="11.25" customHeight="1">
      <c r="A1023" s="2091" t="s">
        <v>2181</v>
      </c>
      <c r="B1023" s="2091" t="s">
        <v>14</v>
      </c>
      <c r="C1023" s="2091" t="s">
        <v>3077</v>
      </c>
      <c r="D1023" s="2091" t="s">
        <v>3078</v>
      </c>
      <c r="E1023" s="2091" t="s">
        <v>3079</v>
      </c>
      <c r="F1023" s="2091" t="s">
        <v>2782</v>
      </c>
      <c r="G1023" s="2091" t="s">
        <v>3080</v>
      </c>
      <c r="H1023" s="2091" t="s">
        <v>24</v>
      </c>
      <c r="I1023" s="2091" t="s">
        <v>804</v>
      </c>
    </row>
    <row r="1024" spans="1:9" ht="11.25" customHeight="1">
      <c r="A1024" s="2091" t="s">
        <v>2181</v>
      </c>
      <c r="B1024" s="2091" t="s">
        <v>14</v>
      </c>
      <c r="C1024" s="2091" t="s">
        <v>3796</v>
      </c>
      <c r="D1024" s="2091" t="s">
        <v>3797</v>
      </c>
      <c r="E1024" s="2091" t="s">
        <v>3798</v>
      </c>
      <c r="F1024" s="2091" t="s">
        <v>2463</v>
      </c>
      <c r="G1024" s="2091" t="s">
        <v>24</v>
      </c>
      <c r="H1024" s="2091" t="s">
        <v>24</v>
      </c>
      <c r="I1024" s="2091" t="s">
        <v>804</v>
      </c>
    </row>
    <row r="1025" spans="1:9" ht="11.25" customHeight="1">
      <c r="A1025" s="2091" t="s">
        <v>2181</v>
      </c>
      <c r="B1025" s="2091" t="s">
        <v>14</v>
      </c>
      <c r="C1025" s="2091" t="s">
        <v>3799</v>
      </c>
      <c r="D1025" s="2091" t="s">
        <v>3800</v>
      </c>
      <c r="E1025" s="2091" t="s">
        <v>3801</v>
      </c>
      <c r="F1025" s="2091" t="s">
        <v>3164</v>
      </c>
      <c r="G1025" s="2091" t="s">
        <v>24</v>
      </c>
      <c r="H1025" s="2091" t="s">
        <v>24</v>
      </c>
      <c r="I1025" s="2091" t="s">
        <v>804</v>
      </c>
    </row>
    <row r="1026" spans="1:9" ht="11.25" customHeight="1">
      <c r="A1026" s="2091" t="s">
        <v>2181</v>
      </c>
      <c r="B1026" s="2091" t="s">
        <v>14</v>
      </c>
      <c r="C1026" s="2091" t="s">
        <v>3630</v>
      </c>
      <c r="D1026" s="2091" t="s">
        <v>3631</v>
      </c>
      <c r="E1026" s="2091" t="s">
        <v>3632</v>
      </c>
      <c r="F1026" s="2091" t="s">
        <v>2683</v>
      </c>
      <c r="G1026" s="2091" t="s">
        <v>3633</v>
      </c>
      <c r="H1026" s="2091" t="s">
        <v>24</v>
      </c>
      <c r="I1026" s="2091" t="s">
        <v>804</v>
      </c>
    </row>
    <row r="1027" spans="1:9" ht="11.25" customHeight="1">
      <c r="A1027" s="2091" t="s">
        <v>2181</v>
      </c>
      <c r="B1027" s="2091" t="s">
        <v>14</v>
      </c>
      <c r="C1027" s="2091" t="s">
        <v>3100</v>
      </c>
      <c r="D1027" s="2091" t="s">
        <v>3101</v>
      </c>
      <c r="E1027" s="2091" t="s">
        <v>3102</v>
      </c>
      <c r="F1027" s="2091" t="s">
        <v>2226</v>
      </c>
      <c r="G1027" s="2091" t="s">
        <v>24</v>
      </c>
      <c r="H1027" s="2091" t="s">
        <v>24</v>
      </c>
      <c r="I1027" s="2091" t="s">
        <v>804</v>
      </c>
    </row>
    <row r="1028" spans="1:9" ht="11.25" customHeight="1">
      <c r="A1028" s="2091" t="s">
        <v>2181</v>
      </c>
      <c r="B1028" s="2091" t="s">
        <v>14</v>
      </c>
      <c r="C1028" s="2091" t="s">
        <v>3103</v>
      </c>
      <c r="D1028" s="2091" t="s">
        <v>3104</v>
      </c>
      <c r="E1028" s="2091" t="s">
        <v>3105</v>
      </c>
      <c r="F1028" s="2091" t="s">
        <v>2361</v>
      </c>
      <c r="G1028" s="2091" t="s">
        <v>3106</v>
      </c>
      <c r="H1028" s="2091" t="s">
        <v>24</v>
      </c>
      <c r="I1028" s="2091" t="s">
        <v>804</v>
      </c>
    </row>
    <row r="1029" spans="1:9" ht="11.25" customHeight="1">
      <c r="A1029" s="2091" t="s">
        <v>2181</v>
      </c>
      <c r="B1029" s="2091" t="s">
        <v>14</v>
      </c>
      <c r="C1029" s="2091" t="s">
        <v>3802</v>
      </c>
      <c r="D1029" s="2091" t="s">
        <v>3803</v>
      </c>
      <c r="E1029" s="2091" t="s">
        <v>3804</v>
      </c>
      <c r="F1029" s="2091" t="s">
        <v>3355</v>
      </c>
      <c r="G1029" s="2091" t="s">
        <v>24</v>
      </c>
      <c r="H1029" s="2091" t="s">
        <v>24</v>
      </c>
      <c r="I1029" s="2091" t="s">
        <v>804</v>
      </c>
    </row>
    <row r="1030" spans="1:9" ht="11.25" customHeight="1">
      <c r="A1030" s="2091" t="s">
        <v>2181</v>
      </c>
      <c r="B1030" s="2091" t="s">
        <v>14</v>
      </c>
      <c r="C1030" s="2091" t="s">
        <v>3107</v>
      </c>
      <c r="D1030" s="2091" t="s">
        <v>3108</v>
      </c>
      <c r="E1030" s="2091" t="s">
        <v>3109</v>
      </c>
      <c r="F1030" s="2091" t="s">
        <v>2329</v>
      </c>
      <c r="G1030" s="2091" t="s">
        <v>24</v>
      </c>
      <c r="H1030" s="2091" t="s">
        <v>24</v>
      </c>
      <c r="I1030" s="2091" t="s">
        <v>804</v>
      </c>
    </row>
    <row r="1031" spans="1:9" ht="11.25" customHeight="1">
      <c r="A1031" s="2091" t="s">
        <v>2181</v>
      </c>
      <c r="B1031" s="2091" t="s">
        <v>14</v>
      </c>
      <c r="C1031" s="2091" t="s">
        <v>3113</v>
      </c>
      <c r="D1031" s="2091" t="s">
        <v>3114</v>
      </c>
      <c r="E1031" s="2091" t="s">
        <v>3115</v>
      </c>
      <c r="F1031" s="2091" t="s">
        <v>2343</v>
      </c>
      <c r="G1031" s="2091" t="s">
        <v>24</v>
      </c>
      <c r="H1031" s="2091" t="s">
        <v>3116</v>
      </c>
      <c r="I1031" s="2091" t="s">
        <v>804</v>
      </c>
    </row>
    <row r="1032" spans="1:9" ht="11.25" customHeight="1">
      <c r="A1032" s="2091" t="s">
        <v>2181</v>
      </c>
      <c r="B1032" s="2091" t="s">
        <v>14</v>
      </c>
      <c r="C1032" s="2091" t="s">
        <v>3117</v>
      </c>
      <c r="D1032" s="2091" t="s">
        <v>3118</v>
      </c>
      <c r="E1032" s="2091" t="s">
        <v>3119</v>
      </c>
      <c r="F1032" s="2091" t="s">
        <v>2365</v>
      </c>
      <c r="G1032" s="2091" t="s">
        <v>3120</v>
      </c>
      <c r="H1032" s="2091" t="s">
        <v>24</v>
      </c>
      <c r="I1032" s="2091" t="s">
        <v>804</v>
      </c>
    </row>
    <row r="1033" spans="1:9" ht="11.25" customHeight="1">
      <c r="A1033" s="2091" t="s">
        <v>2181</v>
      </c>
      <c r="B1033" s="2091" t="s">
        <v>14</v>
      </c>
      <c r="C1033" s="2091" t="s">
        <v>3121</v>
      </c>
      <c r="D1033" s="2091" t="s">
        <v>3122</v>
      </c>
      <c r="E1033" s="2091" t="s">
        <v>3123</v>
      </c>
      <c r="F1033" s="2091" t="s">
        <v>2383</v>
      </c>
      <c r="G1033" s="2091" t="s">
        <v>3124</v>
      </c>
      <c r="H1033" s="2091" t="s">
        <v>24</v>
      </c>
      <c r="I1033" s="2091" t="s">
        <v>804</v>
      </c>
    </row>
    <row r="1034" spans="1:9" ht="11.25" customHeight="1">
      <c r="A1034" s="2091" t="s">
        <v>2181</v>
      </c>
      <c r="B1034" s="2091" t="s">
        <v>14</v>
      </c>
      <c r="C1034" s="2091" t="s">
        <v>3128</v>
      </c>
      <c r="D1034" s="2091" t="s">
        <v>3129</v>
      </c>
      <c r="E1034" s="2091" t="s">
        <v>3130</v>
      </c>
      <c r="F1034" s="2091" t="s">
        <v>2317</v>
      </c>
      <c r="G1034" s="2091" t="s">
        <v>24</v>
      </c>
      <c r="H1034" s="2091" t="s">
        <v>24</v>
      </c>
      <c r="I1034" s="2091" t="s">
        <v>804</v>
      </c>
    </row>
    <row r="1035" spans="1:9" ht="11.25" customHeight="1">
      <c r="A1035" s="2091" t="s">
        <v>2181</v>
      </c>
      <c r="B1035" s="2091" t="s">
        <v>14</v>
      </c>
      <c r="C1035" s="2091" t="s">
        <v>3641</v>
      </c>
      <c r="D1035" s="2091" t="s">
        <v>3642</v>
      </c>
      <c r="E1035" s="2091" t="s">
        <v>3643</v>
      </c>
      <c r="F1035" s="2091" t="s">
        <v>2683</v>
      </c>
      <c r="G1035" s="2091" t="s">
        <v>3644</v>
      </c>
      <c r="H1035" s="2091" t="s">
        <v>24</v>
      </c>
      <c r="I1035" s="2091" t="s">
        <v>804</v>
      </c>
    </row>
    <row r="1036" spans="1:9" ht="11.25" customHeight="1">
      <c r="A1036" s="2091" t="s">
        <v>2181</v>
      </c>
      <c r="B1036" s="2091" t="s">
        <v>14</v>
      </c>
      <c r="C1036" s="2091" t="s">
        <v>3648</v>
      </c>
      <c r="D1036" s="2091" t="s">
        <v>3649</v>
      </c>
      <c r="E1036" s="2091" t="s">
        <v>3650</v>
      </c>
      <c r="F1036" s="2091" t="s">
        <v>3651</v>
      </c>
      <c r="G1036" s="2091" t="s">
        <v>24</v>
      </c>
      <c r="H1036" s="2091" t="s">
        <v>24</v>
      </c>
      <c r="I1036" s="2091" t="s">
        <v>804</v>
      </c>
    </row>
    <row r="1037" spans="1:9" ht="11.25" customHeight="1">
      <c r="A1037" s="2091" t="s">
        <v>2181</v>
      </c>
      <c r="B1037" s="2091" t="s">
        <v>14</v>
      </c>
      <c r="C1037" s="2091" t="s">
        <v>3153</v>
      </c>
      <c r="D1037" s="2091" t="s">
        <v>3154</v>
      </c>
      <c r="E1037" s="2091" t="s">
        <v>3155</v>
      </c>
      <c r="F1037" s="2091" t="s">
        <v>2631</v>
      </c>
      <c r="G1037" s="2091" t="s">
        <v>3156</v>
      </c>
      <c r="H1037" s="2091" t="s">
        <v>24</v>
      </c>
      <c r="I1037" s="2091" t="s">
        <v>804</v>
      </c>
    </row>
    <row r="1038" spans="1:9" ht="11.25" customHeight="1">
      <c r="A1038" s="2091" t="s">
        <v>2181</v>
      </c>
      <c r="B1038" s="2091" t="s">
        <v>14</v>
      </c>
      <c r="C1038" s="2091" t="s">
        <v>3157</v>
      </c>
      <c r="D1038" s="2091" t="s">
        <v>3154</v>
      </c>
      <c r="E1038" s="2091" t="s">
        <v>3158</v>
      </c>
      <c r="F1038" s="2091" t="s">
        <v>2578</v>
      </c>
      <c r="G1038" s="2091" t="s">
        <v>24</v>
      </c>
      <c r="H1038" s="2091" t="s">
        <v>24</v>
      </c>
      <c r="I1038" s="2091" t="s">
        <v>804</v>
      </c>
    </row>
    <row r="1039" spans="1:9" ht="11.25" customHeight="1">
      <c r="A1039" s="2091" t="s">
        <v>2181</v>
      </c>
      <c r="B1039" s="2091" t="s">
        <v>14</v>
      </c>
      <c r="C1039" s="2091" t="s">
        <v>3172</v>
      </c>
      <c r="D1039" s="2091" t="s">
        <v>3173</v>
      </c>
      <c r="E1039" s="2091" t="s">
        <v>3174</v>
      </c>
      <c r="F1039" s="2091" t="s">
        <v>2293</v>
      </c>
      <c r="G1039" s="2091" t="s">
        <v>24</v>
      </c>
      <c r="H1039" s="2091" t="s">
        <v>24</v>
      </c>
      <c r="I1039" s="2091" t="s">
        <v>804</v>
      </c>
    </row>
    <row r="1040" spans="1:9" ht="11.25" customHeight="1">
      <c r="A1040" s="2091" t="s">
        <v>2181</v>
      </c>
      <c r="B1040" s="2091" t="s">
        <v>14</v>
      </c>
      <c r="C1040" s="2091" t="s">
        <v>3175</v>
      </c>
      <c r="D1040" s="2091" t="s">
        <v>3176</v>
      </c>
      <c r="E1040" s="2091" t="s">
        <v>3177</v>
      </c>
      <c r="F1040" s="2091" t="s">
        <v>2343</v>
      </c>
      <c r="G1040" s="2091" t="s">
        <v>24</v>
      </c>
      <c r="H1040" s="2091" t="s">
        <v>24</v>
      </c>
      <c r="I1040" s="2091" t="s">
        <v>804</v>
      </c>
    </row>
    <row r="1041" spans="1:9" ht="11.25" customHeight="1">
      <c r="A1041" s="2091" t="s">
        <v>2181</v>
      </c>
      <c r="B1041" s="2091" t="s">
        <v>14</v>
      </c>
      <c r="C1041" s="2091" t="s">
        <v>3652</v>
      </c>
      <c r="D1041" s="2091" t="s">
        <v>3653</v>
      </c>
      <c r="E1041" s="2091" t="s">
        <v>3654</v>
      </c>
      <c r="F1041" s="2091" t="s">
        <v>2273</v>
      </c>
      <c r="G1041" s="2091" t="s">
        <v>24</v>
      </c>
      <c r="H1041" s="2091" t="s">
        <v>24</v>
      </c>
      <c r="I1041" s="2091" t="s">
        <v>804</v>
      </c>
    </row>
    <row r="1042" spans="1:9" ht="11.25" customHeight="1">
      <c r="A1042" s="2091" t="s">
        <v>2181</v>
      </c>
      <c r="B1042" s="2091" t="s">
        <v>14</v>
      </c>
      <c r="C1042" s="2091" t="s">
        <v>3805</v>
      </c>
      <c r="D1042" s="2091" t="s">
        <v>3806</v>
      </c>
      <c r="E1042" s="2091" t="s">
        <v>3807</v>
      </c>
      <c r="F1042" s="2091" t="s">
        <v>2852</v>
      </c>
      <c r="G1042" s="2091" t="s">
        <v>24</v>
      </c>
      <c r="H1042" s="2091" t="s">
        <v>24</v>
      </c>
      <c r="I1042" s="2091" t="s">
        <v>804</v>
      </c>
    </row>
    <row r="1043" spans="1:9" ht="11.25" customHeight="1">
      <c r="A1043" s="2091" t="s">
        <v>2181</v>
      </c>
      <c r="B1043" s="2091" t="s">
        <v>14</v>
      </c>
      <c r="C1043" s="2091" t="s">
        <v>3655</v>
      </c>
      <c r="D1043" s="2091" t="s">
        <v>3656</v>
      </c>
      <c r="E1043" s="2091" t="s">
        <v>3657</v>
      </c>
      <c r="F1043" s="2091" t="s">
        <v>3658</v>
      </c>
      <c r="G1043" s="2091" t="s">
        <v>24</v>
      </c>
      <c r="H1043" s="2091" t="s">
        <v>24</v>
      </c>
      <c r="I1043" s="2091" t="s">
        <v>804</v>
      </c>
    </row>
    <row r="1044" spans="1:9" ht="11.25" customHeight="1">
      <c r="A1044" s="2091" t="s">
        <v>2181</v>
      </c>
      <c r="B1044" s="2091" t="s">
        <v>14</v>
      </c>
      <c r="C1044" s="2091" t="s">
        <v>3178</v>
      </c>
      <c r="D1044" s="2091" t="s">
        <v>3179</v>
      </c>
      <c r="E1044" s="2091" t="s">
        <v>3180</v>
      </c>
      <c r="F1044" s="2091" t="s">
        <v>2226</v>
      </c>
      <c r="G1044" s="2091" t="s">
        <v>24</v>
      </c>
      <c r="H1044" s="2091" t="s">
        <v>24</v>
      </c>
      <c r="I1044" s="2091" t="s">
        <v>804</v>
      </c>
    </row>
    <row r="1045" spans="1:9" ht="11.25" customHeight="1">
      <c r="A1045" s="2091" t="s">
        <v>2181</v>
      </c>
      <c r="B1045" s="2091" t="s">
        <v>14</v>
      </c>
      <c r="C1045" s="2091" t="s">
        <v>3808</v>
      </c>
      <c r="D1045" s="2091" t="s">
        <v>3809</v>
      </c>
      <c r="E1045" s="2091" t="s">
        <v>3810</v>
      </c>
      <c r="F1045" s="2091" t="s">
        <v>2372</v>
      </c>
      <c r="G1045" s="2091" t="s">
        <v>24</v>
      </c>
      <c r="H1045" s="2091" t="s">
        <v>24</v>
      </c>
      <c r="I1045" s="2091" t="s">
        <v>804</v>
      </c>
    </row>
    <row r="1046" spans="1:9" ht="11.25" customHeight="1">
      <c r="A1046" s="2091" t="s">
        <v>2181</v>
      </c>
      <c r="B1046" s="2091" t="s">
        <v>14</v>
      </c>
      <c r="C1046" s="2091" t="s">
        <v>3193</v>
      </c>
      <c r="D1046" s="2091" t="s">
        <v>3194</v>
      </c>
      <c r="E1046" s="2091" t="s">
        <v>3195</v>
      </c>
      <c r="F1046" s="2091" t="s">
        <v>2293</v>
      </c>
      <c r="G1046" s="2091" t="s">
        <v>24</v>
      </c>
      <c r="H1046" s="2091" t="s">
        <v>24</v>
      </c>
      <c r="I1046" s="2091" t="s">
        <v>804</v>
      </c>
    </row>
    <row r="1047" spans="1:9" ht="11.25" customHeight="1">
      <c r="A1047" s="2091" t="s">
        <v>2181</v>
      </c>
      <c r="B1047" s="2091" t="s">
        <v>14</v>
      </c>
      <c r="C1047" s="2091" t="s">
        <v>3665</v>
      </c>
      <c r="D1047" s="2091" t="s">
        <v>3666</v>
      </c>
      <c r="E1047" s="2091" t="s">
        <v>3667</v>
      </c>
      <c r="F1047" s="2091" t="s">
        <v>2605</v>
      </c>
      <c r="G1047" s="2091" t="s">
        <v>24</v>
      </c>
      <c r="H1047" s="2091" t="s">
        <v>24</v>
      </c>
      <c r="I1047" s="2091" t="s">
        <v>804</v>
      </c>
    </row>
    <row r="1048" spans="1:9" ht="11.25" customHeight="1">
      <c r="A1048" s="2091" t="s">
        <v>2181</v>
      </c>
      <c r="B1048" s="2091" t="s">
        <v>14</v>
      </c>
      <c r="C1048" s="2091" t="s">
        <v>3208</v>
      </c>
      <c r="D1048" s="2091" t="s">
        <v>3209</v>
      </c>
      <c r="E1048" s="2091" t="s">
        <v>3210</v>
      </c>
      <c r="F1048" s="2091" t="s">
        <v>2343</v>
      </c>
      <c r="G1048" s="2091" t="s">
        <v>24</v>
      </c>
      <c r="H1048" s="2091" t="s">
        <v>24</v>
      </c>
      <c r="I1048" s="2091" t="s">
        <v>804</v>
      </c>
    </row>
    <row r="1049" spans="1:9" ht="11.25" customHeight="1">
      <c r="A1049" s="2091" t="s">
        <v>2181</v>
      </c>
      <c r="B1049" s="2091" t="s">
        <v>14</v>
      </c>
      <c r="C1049" s="2091" t="s">
        <v>3217</v>
      </c>
      <c r="D1049" s="2091" t="s">
        <v>3218</v>
      </c>
      <c r="E1049" s="2091" t="s">
        <v>3219</v>
      </c>
      <c r="F1049" s="2091" t="s">
        <v>2226</v>
      </c>
      <c r="G1049" s="2091" t="s">
        <v>24</v>
      </c>
      <c r="H1049" s="2091" t="s">
        <v>24</v>
      </c>
      <c r="I1049" s="2091" t="s">
        <v>804</v>
      </c>
    </row>
    <row r="1050" spans="1:9" ht="11.25" customHeight="1">
      <c r="A1050" s="2091" t="s">
        <v>2181</v>
      </c>
      <c r="B1050" s="2091" t="s">
        <v>14</v>
      </c>
      <c r="C1050" s="2091" t="s">
        <v>3220</v>
      </c>
      <c r="D1050" s="2091" t="s">
        <v>3221</v>
      </c>
      <c r="E1050" s="2091" t="s">
        <v>3222</v>
      </c>
      <c r="F1050" s="2091" t="s">
        <v>2365</v>
      </c>
      <c r="G1050" s="2091" t="s">
        <v>24</v>
      </c>
      <c r="H1050" s="2091" t="s">
        <v>24</v>
      </c>
      <c r="I1050" s="2091" t="s">
        <v>804</v>
      </c>
    </row>
    <row r="1051" spans="1:9" ht="11.25" customHeight="1">
      <c r="A1051" s="2091" t="s">
        <v>2181</v>
      </c>
      <c r="B1051" s="2091" t="s">
        <v>14</v>
      </c>
      <c r="C1051" s="2091" t="s">
        <v>3229</v>
      </c>
      <c r="D1051" s="2091" t="s">
        <v>3230</v>
      </c>
      <c r="E1051" s="2091" t="s">
        <v>3231</v>
      </c>
      <c r="F1051" s="2091" t="s">
        <v>2365</v>
      </c>
      <c r="G1051" s="2091" t="s">
        <v>3232</v>
      </c>
      <c r="H1051" s="2091" t="s">
        <v>24</v>
      </c>
      <c r="I1051" s="2091" t="s">
        <v>804</v>
      </c>
    </row>
    <row r="1052" spans="1:9" ht="11.25" customHeight="1">
      <c r="A1052" s="2091" t="s">
        <v>2181</v>
      </c>
      <c r="B1052" s="2091" t="s">
        <v>14</v>
      </c>
      <c r="C1052" s="2091" t="s">
        <v>3233</v>
      </c>
      <c r="D1052" s="2091" t="s">
        <v>3234</v>
      </c>
      <c r="E1052" s="2091" t="s">
        <v>3235</v>
      </c>
      <c r="F1052" s="2091" t="s">
        <v>2273</v>
      </c>
      <c r="G1052" s="2091" t="s">
        <v>3236</v>
      </c>
      <c r="H1052" s="2091" t="s">
        <v>24</v>
      </c>
      <c r="I1052" s="2091" t="s">
        <v>804</v>
      </c>
    </row>
    <row r="1053" spans="1:9" ht="11.25" customHeight="1">
      <c r="A1053" s="2091" t="s">
        <v>2181</v>
      </c>
      <c r="B1053" s="2091" t="s">
        <v>14</v>
      </c>
      <c r="C1053" s="2091" t="s">
        <v>3240</v>
      </c>
      <c r="D1053" s="2091" t="s">
        <v>3241</v>
      </c>
      <c r="E1053" s="2091" t="s">
        <v>3242</v>
      </c>
      <c r="F1053" s="2091" t="s">
        <v>2343</v>
      </c>
      <c r="G1053" s="2091" t="s">
        <v>24</v>
      </c>
      <c r="H1053" s="2091" t="s">
        <v>24</v>
      </c>
      <c r="I1053" s="2091" t="s">
        <v>804</v>
      </c>
    </row>
    <row r="1054" spans="1:9" ht="11.25" customHeight="1">
      <c r="A1054" s="2091" t="s">
        <v>2181</v>
      </c>
      <c r="B1054" s="2091" t="s">
        <v>14</v>
      </c>
      <c r="C1054" s="2091" t="s">
        <v>3243</v>
      </c>
      <c r="D1054" s="2091" t="s">
        <v>3244</v>
      </c>
      <c r="E1054" s="2091" t="s">
        <v>3245</v>
      </c>
      <c r="F1054" s="2091" t="s">
        <v>2365</v>
      </c>
      <c r="G1054" s="2091" t="s">
        <v>3246</v>
      </c>
      <c r="H1054" s="2091" t="s">
        <v>24</v>
      </c>
      <c r="I1054" s="2091" t="s">
        <v>804</v>
      </c>
    </row>
    <row r="1055" spans="1:9" ht="11.25" customHeight="1">
      <c r="A1055" s="2091" t="s">
        <v>2181</v>
      </c>
      <c r="B1055" s="2091" t="s">
        <v>14</v>
      </c>
      <c r="C1055" s="2091" t="s">
        <v>3253</v>
      </c>
      <c r="D1055" s="2091" t="s">
        <v>3254</v>
      </c>
      <c r="E1055" s="2091" t="s">
        <v>3255</v>
      </c>
      <c r="F1055" s="2091" t="s">
        <v>2273</v>
      </c>
      <c r="G1055" s="2091" t="s">
        <v>24</v>
      </c>
      <c r="H1055" s="2091" t="s">
        <v>24</v>
      </c>
      <c r="I1055" s="2091" t="s">
        <v>804</v>
      </c>
    </row>
    <row r="1056" spans="1:9" ht="11.25" customHeight="1">
      <c r="A1056" s="2091" t="s">
        <v>2181</v>
      </c>
      <c r="B1056" s="2091" t="s">
        <v>14</v>
      </c>
      <c r="C1056" s="2091" t="s">
        <v>3671</v>
      </c>
      <c r="D1056" s="2091" t="s">
        <v>3672</v>
      </c>
      <c r="E1056" s="2091" t="s">
        <v>3673</v>
      </c>
      <c r="F1056" s="2091" t="s">
        <v>2293</v>
      </c>
      <c r="G1056" s="2091" t="s">
        <v>24</v>
      </c>
      <c r="H1056" s="2091" t="s">
        <v>24</v>
      </c>
      <c r="I1056" s="2091" t="s">
        <v>804</v>
      </c>
    </row>
    <row r="1057" spans="1:9" ht="11.25" customHeight="1">
      <c r="A1057" s="2091" t="s">
        <v>2181</v>
      </c>
      <c r="B1057" s="2091" t="s">
        <v>14</v>
      </c>
      <c r="C1057" s="2091" t="s">
        <v>3268</v>
      </c>
      <c r="D1057" s="2091" t="s">
        <v>3269</v>
      </c>
      <c r="E1057" s="2091" t="s">
        <v>3270</v>
      </c>
      <c r="F1057" s="2091" t="s">
        <v>2578</v>
      </c>
      <c r="G1057" s="2091" t="s">
        <v>24</v>
      </c>
      <c r="H1057" s="2091" t="s">
        <v>24</v>
      </c>
      <c r="I1057" s="2091" t="s">
        <v>804</v>
      </c>
    </row>
    <row r="1058" spans="1:9" ht="11.25" customHeight="1">
      <c r="A1058" s="2091" t="s">
        <v>2181</v>
      </c>
      <c r="B1058" s="2091" t="s">
        <v>14</v>
      </c>
      <c r="C1058" s="2091" t="s">
        <v>3811</v>
      </c>
      <c r="D1058" s="2091" t="s">
        <v>3812</v>
      </c>
      <c r="E1058" s="2091" t="s">
        <v>3813</v>
      </c>
      <c r="F1058" s="2091" t="s">
        <v>2226</v>
      </c>
      <c r="G1058" s="2091" t="s">
        <v>24</v>
      </c>
      <c r="H1058" s="2091" t="s">
        <v>24</v>
      </c>
      <c r="I1058" s="2091" t="s">
        <v>804</v>
      </c>
    </row>
    <row r="1059" spans="1:9" ht="11.25" customHeight="1">
      <c r="A1059" s="2091" t="s">
        <v>2181</v>
      </c>
      <c r="B1059" s="2091" t="s">
        <v>14</v>
      </c>
      <c r="C1059" s="2091" t="s">
        <v>3278</v>
      </c>
      <c r="D1059" s="2091" t="s">
        <v>3279</v>
      </c>
      <c r="E1059" s="2091" t="s">
        <v>3280</v>
      </c>
      <c r="F1059" s="2091" t="s">
        <v>2451</v>
      </c>
      <c r="G1059" s="2091" t="s">
        <v>24</v>
      </c>
      <c r="H1059" s="2091" t="s">
        <v>24</v>
      </c>
      <c r="I1059" s="2091" t="s">
        <v>804</v>
      </c>
    </row>
    <row r="1060" spans="1:9" ht="11.25" customHeight="1">
      <c r="A1060" s="2091" t="s">
        <v>2181</v>
      </c>
      <c r="B1060" s="2091" t="s">
        <v>14</v>
      </c>
      <c r="C1060" s="2091" t="s">
        <v>3677</v>
      </c>
      <c r="D1060" s="2091" t="s">
        <v>3678</v>
      </c>
      <c r="E1060" s="2091" t="s">
        <v>3679</v>
      </c>
      <c r="F1060" s="2091" t="s">
        <v>2278</v>
      </c>
      <c r="G1060" s="2091" t="s">
        <v>3680</v>
      </c>
      <c r="H1060" s="2091" t="s">
        <v>24</v>
      </c>
      <c r="I1060" s="2091" t="s">
        <v>804</v>
      </c>
    </row>
    <row r="1061" spans="1:9" ht="11.25" customHeight="1">
      <c r="A1061" s="2091" t="s">
        <v>2181</v>
      </c>
      <c r="B1061" s="2091" t="s">
        <v>14</v>
      </c>
      <c r="C1061" s="2091" t="s">
        <v>3681</v>
      </c>
      <c r="D1061" s="2091" t="s">
        <v>3682</v>
      </c>
      <c r="E1061" s="2091" t="s">
        <v>3683</v>
      </c>
      <c r="F1061" s="2091" t="s">
        <v>2293</v>
      </c>
      <c r="G1061" s="2091" t="s">
        <v>24</v>
      </c>
      <c r="H1061" s="2091" t="s">
        <v>24</v>
      </c>
      <c r="I1061" s="2091" t="s">
        <v>804</v>
      </c>
    </row>
    <row r="1062" spans="1:9" ht="11.25" customHeight="1">
      <c r="A1062" s="2091" t="s">
        <v>2181</v>
      </c>
      <c r="B1062" s="2091" t="s">
        <v>14</v>
      </c>
      <c r="C1062" s="2091" t="s">
        <v>3286</v>
      </c>
      <c r="D1062" s="2091" t="s">
        <v>46</v>
      </c>
      <c r="E1062" s="2091" t="s">
        <v>49</v>
      </c>
      <c r="F1062" s="2091" t="s">
        <v>51</v>
      </c>
      <c r="G1062" s="2091" t="s">
        <v>2190</v>
      </c>
      <c r="H1062" s="2091" t="s">
        <v>24</v>
      </c>
      <c r="I1062" s="2091" t="s">
        <v>804</v>
      </c>
    </row>
    <row r="1063" spans="1:9" ht="11.25" customHeight="1">
      <c r="A1063" s="2091" t="s">
        <v>2181</v>
      </c>
      <c r="B1063" s="2091" t="s">
        <v>14</v>
      </c>
      <c r="C1063" s="2091" t="s">
        <v>3308</v>
      </c>
      <c r="D1063" s="2091" t="s">
        <v>3309</v>
      </c>
      <c r="E1063" s="2091" t="s">
        <v>3310</v>
      </c>
      <c r="F1063" s="2091" t="s">
        <v>2424</v>
      </c>
      <c r="G1063" s="2091" t="s">
        <v>3311</v>
      </c>
      <c r="H1063" s="2091" t="s">
        <v>24</v>
      </c>
      <c r="I1063" s="2091" t="s">
        <v>804</v>
      </c>
    </row>
    <row r="1064" spans="1:9" ht="11.25" customHeight="1">
      <c r="A1064" s="2091" t="s">
        <v>2181</v>
      </c>
      <c r="B1064" s="2091" t="s">
        <v>14</v>
      </c>
      <c r="C1064" s="2091" t="s">
        <v>3312</v>
      </c>
      <c r="D1064" s="2091" t="s">
        <v>3313</v>
      </c>
      <c r="E1064" s="2091" t="s">
        <v>3314</v>
      </c>
      <c r="F1064" s="2091" t="s">
        <v>2222</v>
      </c>
      <c r="G1064" s="2091" t="s">
        <v>3315</v>
      </c>
      <c r="H1064" s="2091" t="s">
        <v>24</v>
      </c>
      <c r="I1064" s="2091" t="s">
        <v>804</v>
      </c>
    </row>
    <row r="1065" spans="1:9" ht="11.25" customHeight="1">
      <c r="A1065" s="2091" t="s">
        <v>2181</v>
      </c>
      <c r="B1065" s="2091" t="s">
        <v>14</v>
      </c>
      <c r="C1065" s="2091" t="s">
        <v>3326</v>
      </c>
      <c r="D1065" s="2091" t="s">
        <v>3327</v>
      </c>
      <c r="E1065" s="2091" t="s">
        <v>3328</v>
      </c>
      <c r="F1065" s="2091" t="s">
        <v>2218</v>
      </c>
      <c r="G1065" s="2091" t="s">
        <v>3329</v>
      </c>
      <c r="H1065" s="2091" t="s">
        <v>24</v>
      </c>
      <c r="I1065" s="2091" t="s">
        <v>804</v>
      </c>
    </row>
    <row r="1066" spans="1:9" ht="11.25" customHeight="1">
      <c r="A1066" s="2091" t="s">
        <v>2181</v>
      </c>
      <c r="B1066" s="2091" t="s">
        <v>14</v>
      </c>
      <c r="C1066" s="2091" t="s">
        <v>3335</v>
      </c>
      <c r="D1066" s="2091" t="s">
        <v>3336</v>
      </c>
      <c r="E1066" s="2091" t="s">
        <v>49</v>
      </c>
      <c r="F1066" s="2091" t="s">
        <v>3337</v>
      </c>
      <c r="G1066" s="2091" t="s">
        <v>24</v>
      </c>
      <c r="H1066" s="2091" t="s">
        <v>24</v>
      </c>
      <c r="I1066" s="2091" t="s">
        <v>804</v>
      </c>
    </row>
    <row r="1067" spans="1:9" ht="11.25" customHeight="1">
      <c r="A1067" s="2091" t="s">
        <v>2181</v>
      </c>
      <c r="B1067" s="2091" t="s">
        <v>14</v>
      </c>
      <c r="C1067" s="2091" t="s">
        <v>3342</v>
      </c>
      <c r="D1067" s="2091" t="s">
        <v>3343</v>
      </c>
      <c r="E1067" s="2091" t="s">
        <v>3306</v>
      </c>
      <c r="F1067" s="2091" t="s">
        <v>3344</v>
      </c>
      <c r="G1067" s="2091" t="s">
        <v>24</v>
      </c>
      <c r="H1067" s="2091" t="s">
        <v>24</v>
      </c>
      <c r="I1067" s="2091" t="s">
        <v>804</v>
      </c>
    </row>
    <row r="1068" spans="1:9" ht="11.25" customHeight="1">
      <c r="A1068" s="2091" t="s">
        <v>2181</v>
      </c>
      <c r="B1068" s="2091" t="s">
        <v>14</v>
      </c>
      <c r="C1068" s="2091" t="s">
        <v>3814</v>
      </c>
      <c r="D1068" s="2091" t="s">
        <v>3815</v>
      </c>
      <c r="E1068" s="2091" t="s">
        <v>3816</v>
      </c>
      <c r="F1068" s="2091" t="s">
        <v>2293</v>
      </c>
      <c r="G1068" s="2091" t="s">
        <v>3817</v>
      </c>
      <c r="H1068" s="2091" t="s">
        <v>24</v>
      </c>
      <c r="I1068" s="2091" t="s">
        <v>1622</v>
      </c>
    </row>
    <row r="1069" spans="1:9" ht="11.25" customHeight="1">
      <c r="A1069" s="2091" t="s">
        <v>2181</v>
      </c>
      <c r="B1069" s="2091" t="s">
        <v>14</v>
      </c>
      <c r="C1069" s="2091" t="s">
        <v>3818</v>
      </c>
      <c r="D1069" s="2091" t="s">
        <v>3819</v>
      </c>
      <c r="E1069" s="2091" t="s">
        <v>3820</v>
      </c>
      <c r="F1069" s="2091" t="s">
        <v>2343</v>
      </c>
      <c r="G1069" s="2091" t="s">
        <v>24</v>
      </c>
      <c r="H1069" s="2091" t="s">
        <v>24</v>
      </c>
      <c r="I1069" s="2091" t="s">
        <v>1622</v>
      </c>
    </row>
    <row r="1070" spans="1:9" ht="11.25" customHeight="1">
      <c r="A1070" s="2091" t="s">
        <v>2181</v>
      </c>
      <c r="B1070" s="2091" t="s">
        <v>14</v>
      </c>
      <c r="C1070" s="2091" t="s">
        <v>2236</v>
      </c>
      <c r="D1070" s="2091" t="s">
        <v>2237</v>
      </c>
      <c r="E1070" s="2091" t="s">
        <v>2238</v>
      </c>
      <c r="F1070" s="2091" t="s">
        <v>2239</v>
      </c>
      <c r="G1070" s="2091" t="s">
        <v>24</v>
      </c>
      <c r="H1070" s="2091" t="s">
        <v>24</v>
      </c>
      <c r="I1070" s="2091" t="s">
        <v>1622</v>
      </c>
    </row>
    <row r="1071" spans="1:9" ht="11.25" customHeight="1">
      <c r="A1071" s="2091" t="s">
        <v>2181</v>
      </c>
      <c r="B1071" s="2091" t="s">
        <v>14</v>
      </c>
      <c r="C1071" s="2091" t="s">
        <v>2275</v>
      </c>
      <c r="D1071" s="2091" t="s">
        <v>2276</v>
      </c>
      <c r="E1071" s="2091" t="s">
        <v>2277</v>
      </c>
      <c r="F1071" s="2091" t="s">
        <v>2278</v>
      </c>
      <c r="G1071" s="2091" t="s">
        <v>2279</v>
      </c>
      <c r="H1071" s="2091" t="s">
        <v>24</v>
      </c>
      <c r="I1071" s="2091" t="s">
        <v>1622</v>
      </c>
    </row>
    <row r="1072" spans="1:9" ht="11.25" customHeight="1">
      <c r="A1072" s="2091" t="s">
        <v>2181</v>
      </c>
      <c r="B1072" s="2091" t="s">
        <v>14</v>
      </c>
      <c r="C1072" s="2091" t="s">
        <v>3821</v>
      </c>
      <c r="D1072" s="2091" t="s">
        <v>3822</v>
      </c>
      <c r="E1072" s="2091" t="s">
        <v>3823</v>
      </c>
      <c r="F1072" s="2091" t="s">
        <v>559</v>
      </c>
      <c r="G1072" s="2091" t="s">
        <v>24</v>
      </c>
      <c r="H1072" s="2091" t="s">
        <v>24</v>
      </c>
      <c r="I1072" s="2091" t="s">
        <v>1622</v>
      </c>
    </row>
    <row r="1073" spans="1:9" ht="11.25" customHeight="1">
      <c r="A1073" s="2091" t="s">
        <v>2181</v>
      </c>
      <c r="B1073" s="2091" t="s">
        <v>14</v>
      </c>
      <c r="C1073" s="2091" t="s">
        <v>2387</v>
      </c>
      <c r="D1073" s="2091" t="s">
        <v>2388</v>
      </c>
      <c r="E1073" s="2091" t="s">
        <v>2389</v>
      </c>
      <c r="F1073" s="2091" t="s">
        <v>2283</v>
      </c>
      <c r="G1073" s="2091" t="s">
        <v>2390</v>
      </c>
      <c r="H1073" s="2091" t="s">
        <v>24</v>
      </c>
      <c r="I1073" s="2091" t="s">
        <v>1622</v>
      </c>
    </row>
    <row r="1074" spans="1:9" ht="11.25" customHeight="1">
      <c r="A1074" s="2091" t="s">
        <v>2181</v>
      </c>
      <c r="B1074" s="2091" t="s">
        <v>14</v>
      </c>
      <c r="C1074" s="2091" t="s">
        <v>24</v>
      </c>
      <c r="D1074" s="2091" t="s">
        <v>2406</v>
      </c>
      <c r="E1074" s="2091" t="s">
        <v>2407</v>
      </c>
      <c r="F1074" s="2091" t="s">
        <v>2293</v>
      </c>
      <c r="G1074" s="2091" t="s">
        <v>24</v>
      </c>
      <c r="H1074" s="2091" t="s">
        <v>24</v>
      </c>
      <c r="I1074" s="2091" t="s">
        <v>1622</v>
      </c>
    </row>
    <row r="1075" spans="1:9" ht="11.25" customHeight="1">
      <c r="A1075" s="2091" t="s">
        <v>2181</v>
      </c>
      <c r="B1075" s="2091" t="s">
        <v>14</v>
      </c>
      <c r="C1075" s="2091" t="s">
        <v>2497</v>
      </c>
      <c r="D1075" s="2091" t="s">
        <v>2498</v>
      </c>
      <c r="E1075" s="2091" t="s">
        <v>2499</v>
      </c>
      <c r="F1075" s="2091" t="s">
        <v>2500</v>
      </c>
      <c r="G1075" s="2091" t="s">
        <v>2501</v>
      </c>
      <c r="H1075" s="2091" t="s">
        <v>24</v>
      </c>
      <c r="I1075" s="2091" t="s">
        <v>1622</v>
      </c>
    </row>
    <row r="1076" spans="1:9" ht="11.25" customHeight="1">
      <c r="A1076" s="2091" t="s">
        <v>2181</v>
      </c>
      <c r="B1076" s="2091" t="s">
        <v>14</v>
      </c>
      <c r="C1076" s="2091" t="s">
        <v>2517</v>
      </c>
      <c r="D1076" s="2091" t="s">
        <v>2518</v>
      </c>
      <c r="E1076" s="2091" t="s">
        <v>2519</v>
      </c>
      <c r="F1076" s="2091" t="s">
        <v>2455</v>
      </c>
      <c r="G1076" s="2091" t="s">
        <v>2520</v>
      </c>
      <c r="H1076" s="2091" t="s">
        <v>24</v>
      </c>
      <c r="I1076" s="2091" t="s">
        <v>1622</v>
      </c>
    </row>
    <row r="1077" spans="1:9" ht="11.25" customHeight="1">
      <c r="A1077" s="2091" t="s">
        <v>2181</v>
      </c>
      <c r="B1077" s="2091" t="s">
        <v>14</v>
      </c>
      <c r="C1077" s="2091" t="s">
        <v>3824</v>
      </c>
      <c r="D1077" s="2091" t="s">
        <v>3825</v>
      </c>
      <c r="E1077" s="2091" t="s">
        <v>3826</v>
      </c>
      <c r="F1077" s="2091" t="s">
        <v>2198</v>
      </c>
      <c r="G1077" s="2091" t="s">
        <v>3827</v>
      </c>
      <c r="H1077" s="2091" t="s">
        <v>24</v>
      </c>
      <c r="I1077" s="2091" t="s">
        <v>1622</v>
      </c>
    </row>
    <row r="1078" spans="1:9" ht="11.25" customHeight="1">
      <c r="A1078" s="2091" t="s">
        <v>2181</v>
      </c>
      <c r="B1078" s="2091" t="s">
        <v>14</v>
      </c>
      <c r="C1078" s="2091" t="s">
        <v>2552</v>
      </c>
      <c r="D1078" s="2091" t="s">
        <v>2553</v>
      </c>
      <c r="E1078" s="2091" t="s">
        <v>2554</v>
      </c>
      <c r="F1078" s="2091" t="s">
        <v>2325</v>
      </c>
      <c r="G1078" s="2091" t="s">
        <v>2555</v>
      </c>
      <c r="H1078" s="2091" t="s">
        <v>24</v>
      </c>
      <c r="I1078" s="2091" t="s">
        <v>1622</v>
      </c>
    </row>
    <row r="1079" spans="1:9" ht="11.25" customHeight="1">
      <c r="A1079" s="2091" t="s">
        <v>2181</v>
      </c>
      <c r="B1079" s="2091" t="s">
        <v>14</v>
      </c>
      <c r="C1079" s="2091" t="s">
        <v>2590</v>
      </c>
      <c r="D1079" s="2091" t="s">
        <v>2591</v>
      </c>
      <c r="E1079" s="2091" t="s">
        <v>2592</v>
      </c>
      <c r="F1079" s="2091" t="s">
        <v>2492</v>
      </c>
      <c r="G1079" s="2091" t="s">
        <v>2593</v>
      </c>
      <c r="H1079" s="2091" t="s">
        <v>24</v>
      </c>
      <c r="I1079" s="2091" t="s">
        <v>1622</v>
      </c>
    </row>
    <row r="1080" spans="1:9" ht="11.25" customHeight="1">
      <c r="A1080" s="2091" t="s">
        <v>2181</v>
      </c>
      <c r="B1080" s="2091" t="s">
        <v>14</v>
      </c>
      <c r="C1080" s="2091" t="s">
        <v>3828</v>
      </c>
      <c r="D1080" s="2091" t="s">
        <v>3829</v>
      </c>
      <c r="E1080" s="2091" t="s">
        <v>3830</v>
      </c>
      <c r="F1080" s="2091" t="s">
        <v>2273</v>
      </c>
      <c r="G1080" s="2091" t="s">
        <v>24</v>
      </c>
      <c r="H1080" s="2091" t="s">
        <v>24</v>
      </c>
      <c r="I1080" s="2091" t="s">
        <v>1622</v>
      </c>
    </row>
    <row r="1081" spans="1:9" ht="11.25" customHeight="1">
      <c r="A1081" s="2091" t="s">
        <v>2181</v>
      </c>
      <c r="B1081" s="2091" t="s">
        <v>14</v>
      </c>
      <c r="C1081" s="2091" t="s">
        <v>3831</v>
      </c>
      <c r="D1081" s="2091" t="s">
        <v>3832</v>
      </c>
      <c r="E1081" s="2091" t="s">
        <v>3833</v>
      </c>
      <c r="F1081" s="2091" t="s">
        <v>3834</v>
      </c>
      <c r="G1081" s="2091" t="s">
        <v>3835</v>
      </c>
      <c r="H1081" s="2091" t="s">
        <v>24</v>
      </c>
      <c r="I1081" s="2091" t="s">
        <v>1622</v>
      </c>
    </row>
    <row r="1082" spans="1:9" ht="11.25" customHeight="1">
      <c r="A1082" s="2091" t="s">
        <v>2181</v>
      </c>
      <c r="B1082" s="2091" t="s">
        <v>14</v>
      </c>
      <c r="C1082" s="2091" t="s">
        <v>3502</v>
      </c>
      <c r="D1082" s="2091" t="s">
        <v>3503</v>
      </c>
      <c r="E1082" s="2091" t="s">
        <v>3504</v>
      </c>
      <c r="F1082" s="2091" t="s">
        <v>2198</v>
      </c>
      <c r="G1082" s="2091" t="s">
        <v>24</v>
      </c>
      <c r="H1082" s="2091" t="s">
        <v>24</v>
      </c>
      <c r="I1082" s="2091" t="s">
        <v>1622</v>
      </c>
    </row>
    <row r="1083" spans="1:9" ht="11.25" customHeight="1">
      <c r="A1083" s="2091" t="s">
        <v>2181</v>
      </c>
      <c r="B1083" s="2091" t="s">
        <v>14</v>
      </c>
      <c r="C1083" s="2091" t="s">
        <v>3753</v>
      </c>
      <c r="D1083" s="2091" t="s">
        <v>3754</v>
      </c>
      <c r="E1083" s="2091" t="s">
        <v>3755</v>
      </c>
      <c r="F1083" s="2091" t="s">
        <v>2365</v>
      </c>
      <c r="G1083" s="2091" t="s">
        <v>24</v>
      </c>
      <c r="H1083" s="2091" t="s">
        <v>24</v>
      </c>
      <c r="I1083" s="2091" t="s">
        <v>1622</v>
      </c>
    </row>
    <row r="1084" spans="1:9" ht="11.25" customHeight="1">
      <c r="A1084" s="2091" t="s">
        <v>2181</v>
      </c>
      <c r="B1084" s="2091" t="s">
        <v>14</v>
      </c>
      <c r="C1084" s="2091" t="s">
        <v>3836</v>
      </c>
      <c r="D1084" s="2091" t="s">
        <v>3837</v>
      </c>
      <c r="E1084" s="2091" t="s">
        <v>3838</v>
      </c>
      <c r="F1084" s="2091" t="s">
        <v>2255</v>
      </c>
      <c r="G1084" s="2091" t="s">
        <v>3839</v>
      </c>
      <c r="H1084" s="2091" t="s">
        <v>24</v>
      </c>
      <c r="I1084" s="2091" t="s">
        <v>1622</v>
      </c>
    </row>
    <row r="1085" spans="1:9" ht="11.25" customHeight="1">
      <c r="A1085" s="2091" t="s">
        <v>2181</v>
      </c>
      <c r="B1085" s="2091" t="s">
        <v>14</v>
      </c>
      <c r="C1085" s="2091" t="s">
        <v>3840</v>
      </c>
      <c r="D1085" s="2091" t="s">
        <v>3841</v>
      </c>
      <c r="E1085" s="2091" t="s">
        <v>3842</v>
      </c>
      <c r="F1085" s="2091" t="s">
        <v>2338</v>
      </c>
      <c r="G1085" s="2091" t="s">
        <v>24</v>
      </c>
      <c r="H1085" s="2091" t="s">
        <v>24</v>
      </c>
      <c r="I1085" s="2091" t="s">
        <v>1622</v>
      </c>
    </row>
    <row r="1086" spans="1:9" ht="11.25" customHeight="1">
      <c r="A1086" s="2091" t="s">
        <v>2181</v>
      </c>
      <c r="B1086" s="2091" t="s">
        <v>14</v>
      </c>
      <c r="C1086" s="2091" t="s">
        <v>3843</v>
      </c>
      <c r="D1086" s="2091" t="s">
        <v>3844</v>
      </c>
      <c r="E1086" s="2091" t="s">
        <v>3845</v>
      </c>
      <c r="F1086" s="2091" t="s">
        <v>2833</v>
      </c>
      <c r="G1086" s="2091" t="s">
        <v>3846</v>
      </c>
      <c r="H1086" s="2091" t="s">
        <v>24</v>
      </c>
      <c r="I1086" s="2091" t="s">
        <v>1622</v>
      </c>
    </row>
    <row r="1087" spans="1:9" ht="11.25" customHeight="1">
      <c r="A1087" s="2091" t="s">
        <v>2181</v>
      </c>
      <c r="B1087" s="2091" t="s">
        <v>14</v>
      </c>
      <c r="C1087" s="2091" t="s">
        <v>3847</v>
      </c>
      <c r="D1087" s="2091" t="s">
        <v>3848</v>
      </c>
      <c r="E1087" s="2091" t="s">
        <v>3849</v>
      </c>
      <c r="F1087" s="2091" t="s">
        <v>2185</v>
      </c>
      <c r="G1087" s="2091" t="s">
        <v>24</v>
      </c>
      <c r="H1087" s="2091" t="s">
        <v>24</v>
      </c>
      <c r="I1087" s="2091" t="s">
        <v>1622</v>
      </c>
    </row>
    <row r="1088" spans="1:9" ht="11.25" customHeight="1">
      <c r="A1088" s="2091" t="s">
        <v>2181</v>
      </c>
      <c r="B1088" s="2091" t="s">
        <v>14</v>
      </c>
      <c r="C1088" s="2091" t="s">
        <v>3850</v>
      </c>
      <c r="D1088" s="2091" t="s">
        <v>3851</v>
      </c>
      <c r="E1088" s="2091" t="s">
        <v>3852</v>
      </c>
      <c r="F1088" s="2091" t="s">
        <v>2317</v>
      </c>
      <c r="G1088" s="2091" t="s">
        <v>24</v>
      </c>
      <c r="H1088" s="2091" t="s">
        <v>24</v>
      </c>
      <c r="I1088" s="2091" t="s">
        <v>1622</v>
      </c>
    </row>
    <row r="1089" spans="1:9" ht="11.25" customHeight="1">
      <c r="A1089" s="2091" t="s">
        <v>2181</v>
      </c>
      <c r="B1089" s="2091" t="s">
        <v>14</v>
      </c>
      <c r="C1089" s="2091" t="s">
        <v>3853</v>
      </c>
      <c r="D1089" s="2091" t="s">
        <v>3854</v>
      </c>
      <c r="E1089" s="2091" t="s">
        <v>3855</v>
      </c>
      <c r="F1089" s="2091" t="s">
        <v>2683</v>
      </c>
      <c r="G1089" s="2091" t="s">
        <v>24</v>
      </c>
      <c r="H1089" s="2091" t="s">
        <v>24</v>
      </c>
      <c r="I1089" s="2091" t="s">
        <v>1622</v>
      </c>
    </row>
    <row r="1090" spans="1:9" ht="11.25" customHeight="1">
      <c r="A1090" s="2091" t="s">
        <v>2181</v>
      </c>
      <c r="B1090" s="2091" t="s">
        <v>14</v>
      </c>
      <c r="C1090" s="2091" t="s">
        <v>3590</v>
      </c>
      <c r="D1090" s="2091" t="s">
        <v>3591</v>
      </c>
      <c r="E1090" s="2091" t="s">
        <v>3592</v>
      </c>
      <c r="F1090" s="2091" t="s">
        <v>3593</v>
      </c>
      <c r="G1090" s="2091" t="s">
        <v>24</v>
      </c>
      <c r="H1090" s="2091" t="s">
        <v>24</v>
      </c>
      <c r="I1090" s="2091" t="s">
        <v>1622</v>
      </c>
    </row>
    <row r="1091" spans="1:9" ht="11.25" customHeight="1">
      <c r="A1091" s="2091" t="s">
        <v>2181</v>
      </c>
      <c r="B1091" s="2091" t="s">
        <v>14</v>
      </c>
      <c r="C1091" s="2091" t="s">
        <v>3785</v>
      </c>
      <c r="D1091" s="2091" t="s">
        <v>3786</v>
      </c>
      <c r="E1091" s="2091" t="s">
        <v>3787</v>
      </c>
      <c r="F1091" s="2091" t="s">
        <v>2535</v>
      </c>
      <c r="G1091" s="2091" t="s">
        <v>24</v>
      </c>
      <c r="H1091" s="2091" t="s">
        <v>24</v>
      </c>
      <c r="I1091" s="2091" t="s">
        <v>1622</v>
      </c>
    </row>
    <row r="1092" spans="1:9" ht="11.25" customHeight="1">
      <c r="A1092" s="2091" t="s">
        <v>2181</v>
      </c>
      <c r="B1092" s="2091" t="s">
        <v>14</v>
      </c>
      <c r="C1092" s="2091" t="s">
        <v>3856</v>
      </c>
      <c r="D1092" s="2091" t="s">
        <v>3857</v>
      </c>
      <c r="E1092" s="2091" t="s">
        <v>3858</v>
      </c>
      <c r="F1092" s="2091" t="s">
        <v>2605</v>
      </c>
      <c r="G1092" s="2091" t="s">
        <v>24</v>
      </c>
      <c r="H1092" s="2091" t="s">
        <v>24</v>
      </c>
      <c r="I1092" s="2091" t="s">
        <v>1622</v>
      </c>
    </row>
    <row r="1093" spans="1:9" ht="11.25" customHeight="1">
      <c r="A1093" s="2091" t="s">
        <v>2181</v>
      </c>
      <c r="B1093" s="2091" t="s">
        <v>14</v>
      </c>
      <c r="C1093" s="2091" t="s">
        <v>3859</v>
      </c>
      <c r="D1093" s="2091" t="s">
        <v>3860</v>
      </c>
      <c r="E1093" s="2091" t="s">
        <v>3861</v>
      </c>
      <c r="F1093" s="2091" t="s">
        <v>2185</v>
      </c>
      <c r="G1093" s="2091" t="s">
        <v>24</v>
      </c>
      <c r="H1093" s="2091" t="s">
        <v>24</v>
      </c>
      <c r="I1093" s="2091" t="s">
        <v>1622</v>
      </c>
    </row>
    <row r="1094" spans="1:9" ht="11.25" customHeight="1">
      <c r="A1094" s="2091" t="s">
        <v>2181</v>
      </c>
      <c r="B1094" s="2091" t="s">
        <v>14</v>
      </c>
      <c r="C1094" s="2091" t="s">
        <v>3862</v>
      </c>
      <c r="D1094" s="2091" t="s">
        <v>3863</v>
      </c>
      <c r="E1094" s="2091" t="s">
        <v>3864</v>
      </c>
      <c r="F1094" s="2091" t="s">
        <v>2361</v>
      </c>
      <c r="G1094" s="2091" t="s">
        <v>24</v>
      </c>
      <c r="H1094" s="2091" t="s">
        <v>24</v>
      </c>
      <c r="I1094" s="2091" t="s">
        <v>1622</v>
      </c>
    </row>
    <row r="1095" spans="1:9" ht="11.25" customHeight="1">
      <c r="A1095" s="2091" t="s">
        <v>2181</v>
      </c>
      <c r="B1095" s="2091" t="s">
        <v>14</v>
      </c>
      <c r="C1095" s="2091" t="s">
        <v>3024</v>
      </c>
      <c r="D1095" s="2091" t="s">
        <v>3025</v>
      </c>
      <c r="E1095" s="2091" t="s">
        <v>3026</v>
      </c>
      <c r="F1095" s="2091" t="s">
        <v>2250</v>
      </c>
      <c r="G1095" s="2091" t="s">
        <v>3027</v>
      </c>
      <c r="H1095" s="2091" t="s">
        <v>24</v>
      </c>
      <c r="I1095" s="2091" t="s">
        <v>1622</v>
      </c>
    </row>
    <row r="1096" spans="1:9" ht="11.25" customHeight="1">
      <c r="A1096" s="2091" t="s">
        <v>2181</v>
      </c>
      <c r="B1096" s="2091" t="s">
        <v>14</v>
      </c>
      <c r="C1096" s="2091" t="s">
        <v>3865</v>
      </c>
      <c r="D1096" s="2091" t="s">
        <v>3866</v>
      </c>
      <c r="E1096" s="2091" t="s">
        <v>3867</v>
      </c>
      <c r="F1096" s="2091" t="s">
        <v>2255</v>
      </c>
      <c r="G1096" s="2091" t="s">
        <v>3868</v>
      </c>
      <c r="H1096" s="2091" t="s">
        <v>24</v>
      </c>
      <c r="I1096" s="2091" t="s">
        <v>1622</v>
      </c>
    </row>
    <row r="1097" spans="1:9" ht="11.25" customHeight="1">
      <c r="A1097" s="2091" t="s">
        <v>2181</v>
      </c>
      <c r="B1097" s="2091" t="s">
        <v>14</v>
      </c>
      <c r="C1097" s="2091" t="s">
        <v>3869</v>
      </c>
      <c r="D1097" s="2091" t="s">
        <v>3870</v>
      </c>
      <c r="E1097" s="2091" t="s">
        <v>3871</v>
      </c>
      <c r="F1097" s="2091" t="s">
        <v>3872</v>
      </c>
      <c r="G1097" s="2091" t="s">
        <v>24</v>
      </c>
      <c r="H1097" s="2091" t="s">
        <v>24</v>
      </c>
      <c r="I1097" s="2091" t="s">
        <v>1622</v>
      </c>
    </row>
    <row r="1098" spans="1:9" ht="11.25" customHeight="1">
      <c r="A1098" s="2091" t="s">
        <v>2181</v>
      </c>
      <c r="B1098" s="2091" t="s">
        <v>14</v>
      </c>
      <c r="C1098" s="2091" t="s">
        <v>3873</v>
      </c>
      <c r="D1098" s="2091" t="s">
        <v>3874</v>
      </c>
      <c r="E1098" s="2091" t="s">
        <v>3875</v>
      </c>
      <c r="F1098" s="2091" t="s">
        <v>2329</v>
      </c>
      <c r="G1098" s="2091" t="s">
        <v>24</v>
      </c>
      <c r="H1098" s="2091" t="s">
        <v>24</v>
      </c>
      <c r="I1098" s="2091" t="s">
        <v>1622</v>
      </c>
    </row>
    <row r="1099" spans="1:9" ht="11.25" customHeight="1">
      <c r="A1099" s="2091" t="s">
        <v>2181</v>
      </c>
      <c r="B1099" s="2091" t="s">
        <v>14</v>
      </c>
      <c r="C1099" s="2091" t="s">
        <v>3876</v>
      </c>
      <c r="D1099" s="2091" t="s">
        <v>3877</v>
      </c>
      <c r="E1099" s="2091" t="s">
        <v>3878</v>
      </c>
      <c r="F1099" s="2091" t="s">
        <v>2343</v>
      </c>
      <c r="G1099" s="2091" t="s">
        <v>24</v>
      </c>
      <c r="H1099" s="2091" t="s">
        <v>24</v>
      </c>
      <c r="I1099" s="2091" t="s">
        <v>1622</v>
      </c>
    </row>
    <row r="1100" spans="1:9" ht="11.25" customHeight="1">
      <c r="A1100" s="2091" t="s">
        <v>2181</v>
      </c>
      <c r="B1100" s="2091" t="s">
        <v>14</v>
      </c>
      <c r="C1100" s="2091" t="s">
        <v>3879</v>
      </c>
      <c r="D1100" s="2091" t="s">
        <v>3880</v>
      </c>
      <c r="E1100" s="2091" t="s">
        <v>3881</v>
      </c>
      <c r="F1100" s="2091" t="s">
        <v>2492</v>
      </c>
      <c r="G1100" s="2091" t="s">
        <v>24</v>
      </c>
      <c r="H1100" s="2091" t="s">
        <v>24</v>
      </c>
      <c r="I1100" s="2091" t="s">
        <v>1622</v>
      </c>
    </row>
    <row r="1101" spans="1:9" ht="11.25" customHeight="1">
      <c r="A1101" s="2091" t="s">
        <v>2181</v>
      </c>
      <c r="B1101" s="2091" t="s">
        <v>14</v>
      </c>
      <c r="C1101" s="2091" t="s">
        <v>3882</v>
      </c>
      <c r="D1101" s="2091" t="s">
        <v>3883</v>
      </c>
      <c r="E1101" s="2091" t="s">
        <v>3884</v>
      </c>
      <c r="F1101" s="2091" t="s">
        <v>2361</v>
      </c>
      <c r="G1101" s="2091" t="s">
        <v>24</v>
      </c>
      <c r="H1101" s="2091" t="s">
        <v>24</v>
      </c>
      <c r="I1101" s="2091" t="s">
        <v>1622</v>
      </c>
    </row>
    <row r="1102" spans="1:9" ht="11.25" customHeight="1">
      <c r="A1102" s="2091" t="s">
        <v>2181</v>
      </c>
      <c r="B1102" s="2091" t="s">
        <v>14</v>
      </c>
      <c r="C1102" s="2091" t="s">
        <v>3885</v>
      </c>
      <c r="D1102" s="2091" t="s">
        <v>3886</v>
      </c>
      <c r="E1102" s="2091" t="s">
        <v>3887</v>
      </c>
      <c r="F1102" s="2091" t="s">
        <v>2185</v>
      </c>
      <c r="G1102" s="2091" t="s">
        <v>24</v>
      </c>
      <c r="H1102" s="2091" t="s">
        <v>24</v>
      </c>
      <c r="I1102" s="2091" t="s">
        <v>1622</v>
      </c>
    </row>
    <row r="1103" spans="1:9" ht="11.25" customHeight="1">
      <c r="A1103" s="2091" t="s">
        <v>2181</v>
      </c>
      <c r="B1103" s="2091" t="s">
        <v>14</v>
      </c>
      <c r="C1103" s="2091" t="s">
        <v>3888</v>
      </c>
      <c r="D1103" s="2091" t="s">
        <v>3889</v>
      </c>
      <c r="E1103" s="2091" t="s">
        <v>3890</v>
      </c>
      <c r="F1103" s="2091" t="s">
        <v>2250</v>
      </c>
      <c r="G1103" s="2091" t="s">
        <v>24</v>
      </c>
      <c r="H1103" s="2091" t="s">
        <v>24</v>
      </c>
      <c r="I1103" s="2091" t="s">
        <v>1622</v>
      </c>
    </row>
    <row r="1104" spans="1:9" ht="11.25" customHeight="1">
      <c r="A1104" s="2091" t="s">
        <v>2181</v>
      </c>
      <c r="B1104" s="2091" t="s">
        <v>14</v>
      </c>
      <c r="C1104" s="2091" t="s">
        <v>3891</v>
      </c>
      <c r="D1104" s="2091" t="s">
        <v>3892</v>
      </c>
      <c r="E1104" s="2091" t="s">
        <v>3893</v>
      </c>
      <c r="F1104" s="2091" t="s">
        <v>2455</v>
      </c>
      <c r="G1104" s="2091" t="s">
        <v>24</v>
      </c>
      <c r="H1104" s="2091" t="s">
        <v>24</v>
      </c>
      <c r="I1104" s="2091" t="s">
        <v>1622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2B425-21E6-F56F-1807-01B9CFD9ACF3}">
  <sheetPr>
    <tabColor rgb="FFFFCC99"/>
  </sheetPr>
  <dimension ref="A1:G598"/>
  <sheetViews>
    <sheetView showGridLines="0" workbookViewId="0"/>
  </sheetViews>
  <sheetFormatPr defaultRowHeight="11.25" customHeight="1"/>
  <cols>
    <col min="1" max="1" width="9.140625" style="2067"/>
  </cols>
  <sheetData>
    <row r="1" spans="1:7" ht="11.25" customHeight="1">
      <c r="A1" s="301" t="s">
        <v>3894</v>
      </c>
      <c r="B1" s="1" t="s">
        <v>3895</v>
      </c>
      <c r="C1" s="1" t="s">
        <v>3896</v>
      </c>
      <c r="D1" s="1" t="s">
        <v>3897</v>
      </c>
      <c r="E1" t="s">
        <v>3898</v>
      </c>
      <c r="F1" t="s">
        <v>3899</v>
      </c>
      <c r="G1" t="s">
        <v>3900</v>
      </c>
    </row>
    <row r="2" spans="1:7" ht="11.25" customHeight="1">
      <c r="A2" s="301" t="s">
        <v>14</v>
      </c>
      <c r="B2" t="s">
        <v>3901</v>
      </c>
      <c r="C2" t="s">
        <v>3902</v>
      </c>
      <c r="D2" t="s">
        <v>3901</v>
      </c>
      <c r="E2" t="s">
        <v>3902</v>
      </c>
      <c r="F2" t="s">
        <v>3903</v>
      </c>
      <c r="G2" t="s">
        <v>108</v>
      </c>
    </row>
    <row r="3" spans="1:7" ht="11.25" customHeight="1">
      <c r="A3" s="301" t="s">
        <v>14</v>
      </c>
      <c r="B3" t="s">
        <v>3901</v>
      </c>
      <c r="C3" t="s">
        <v>3902</v>
      </c>
      <c r="D3" t="s">
        <v>3904</v>
      </c>
      <c r="E3" t="s">
        <v>3905</v>
      </c>
      <c r="F3" t="s">
        <v>3906</v>
      </c>
      <c r="G3" t="s">
        <v>109</v>
      </c>
    </row>
    <row r="4" spans="1:7" ht="11.25" customHeight="1">
      <c r="A4" s="301" t="s">
        <v>14</v>
      </c>
      <c r="B4" t="s">
        <v>3901</v>
      </c>
      <c r="C4" t="s">
        <v>3902</v>
      </c>
      <c r="D4" t="s">
        <v>3907</v>
      </c>
      <c r="E4" t="s">
        <v>3908</v>
      </c>
      <c r="F4" t="s">
        <v>3906</v>
      </c>
      <c r="G4" t="s">
        <v>89</v>
      </c>
    </row>
    <row r="5" spans="1:7" ht="11.25" customHeight="1">
      <c r="A5" s="301" t="s">
        <v>14</v>
      </c>
      <c r="B5" t="s">
        <v>3901</v>
      </c>
      <c r="C5" t="s">
        <v>3902</v>
      </c>
      <c r="D5" t="s">
        <v>3909</v>
      </c>
      <c r="E5" t="s">
        <v>3910</v>
      </c>
      <c r="F5" t="s">
        <v>3906</v>
      </c>
      <c r="G5" t="s">
        <v>90</v>
      </c>
    </row>
    <row r="6" spans="1:7" ht="11.25" customHeight="1">
      <c r="A6" s="301" t="s">
        <v>14</v>
      </c>
      <c r="B6" t="s">
        <v>3901</v>
      </c>
      <c r="C6" t="s">
        <v>3902</v>
      </c>
      <c r="D6" t="s">
        <v>3911</v>
      </c>
      <c r="E6" t="s">
        <v>3912</v>
      </c>
      <c r="F6" t="s">
        <v>3906</v>
      </c>
      <c r="G6" t="s">
        <v>110</v>
      </c>
    </row>
    <row r="7" spans="1:7" ht="11.25" customHeight="1">
      <c r="A7" s="301" t="s">
        <v>14</v>
      </c>
      <c r="B7" t="s">
        <v>3901</v>
      </c>
      <c r="C7" t="s">
        <v>3902</v>
      </c>
      <c r="D7" t="s">
        <v>3913</v>
      </c>
      <c r="E7" t="s">
        <v>3914</v>
      </c>
      <c r="F7" t="s">
        <v>3906</v>
      </c>
      <c r="G7" t="s">
        <v>91</v>
      </c>
    </row>
    <row r="8" spans="1:7" ht="11.25" customHeight="1">
      <c r="A8" s="301" t="s">
        <v>14</v>
      </c>
      <c r="B8" t="s">
        <v>3901</v>
      </c>
      <c r="C8" t="s">
        <v>3902</v>
      </c>
      <c r="D8" t="s">
        <v>3915</v>
      </c>
      <c r="E8" t="s">
        <v>3916</v>
      </c>
      <c r="F8" t="s">
        <v>3906</v>
      </c>
      <c r="G8" t="s">
        <v>92</v>
      </c>
    </row>
    <row r="9" spans="1:7" ht="11.25" customHeight="1">
      <c r="A9" s="301" t="s">
        <v>14</v>
      </c>
      <c r="B9" t="s">
        <v>3901</v>
      </c>
      <c r="C9" t="s">
        <v>3902</v>
      </c>
      <c r="D9" t="s">
        <v>3917</v>
      </c>
      <c r="E9" t="s">
        <v>3918</v>
      </c>
      <c r="F9" t="s">
        <v>3906</v>
      </c>
      <c r="G9" t="s">
        <v>111</v>
      </c>
    </row>
    <row r="10" spans="1:7" ht="11.25" customHeight="1">
      <c r="A10" s="301" t="s">
        <v>14</v>
      </c>
      <c r="B10" t="s">
        <v>3901</v>
      </c>
      <c r="C10" t="s">
        <v>3902</v>
      </c>
      <c r="D10" t="s">
        <v>3919</v>
      </c>
      <c r="E10" t="s">
        <v>3920</v>
      </c>
      <c r="F10" t="s">
        <v>3906</v>
      </c>
      <c r="G10" t="s">
        <v>147</v>
      </c>
    </row>
    <row r="11" spans="1:7" ht="11.25" customHeight="1">
      <c r="A11" s="301" t="s">
        <v>14</v>
      </c>
      <c r="B11" t="s">
        <v>3901</v>
      </c>
      <c r="C11" t="s">
        <v>3902</v>
      </c>
      <c r="D11" t="s">
        <v>3921</v>
      </c>
      <c r="E11" t="s">
        <v>3922</v>
      </c>
      <c r="F11" t="s">
        <v>3906</v>
      </c>
      <c r="G11" t="s">
        <v>148</v>
      </c>
    </row>
    <row r="12" spans="1:7" ht="11.25" customHeight="1">
      <c r="A12" s="301" t="s">
        <v>14</v>
      </c>
      <c r="B12" t="s">
        <v>3901</v>
      </c>
      <c r="C12" t="s">
        <v>3902</v>
      </c>
      <c r="D12" t="s">
        <v>3923</v>
      </c>
      <c r="E12" t="s">
        <v>3924</v>
      </c>
      <c r="F12" t="s">
        <v>3906</v>
      </c>
      <c r="G12" t="s">
        <v>149</v>
      </c>
    </row>
    <row r="13" spans="1:7" ht="11.25" customHeight="1">
      <c r="A13" s="301" t="s">
        <v>14</v>
      </c>
      <c r="B13" t="s">
        <v>3901</v>
      </c>
      <c r="C13" t="s">
        <v>3902</v>
      </c>
      <c r="D13" t="s">
        <v>3925</v>
      </c>
      <c r="E13" t="s">
        <v>3926</v>
      </c>
      <c r="F13" t="s">
        <v>3906</v>
      </c>
      <c r="G13" t="s">
        <v>150</v>
      </c>
    </row>
    <row r="14" spans="1:7" ht="11.25" customHeight="1">
      <c r="A14" s="301" t="s">
        <v>14</v>
      </c>
      <c r="B14" t="s">
        <v>3901</v>
      </c>
      <c r="C14" t="s">
        <v>3902</v>
      </c>
      <c r="D14" t="s">
        <v>3927</v>
      </c>
      <c r="E14" t="s">
        <v>3928</v>
      </c>
      <c r="F14" t="s">
        <v>3906</v>
      </c>
      <c r="G14" t="s">
        <v>151</v>
      </c>
    </row>
    <row r="15" spans="1:7" ht="11.25" customHeight="1">
      <c r="A15" s="301" t="s">
        <v>14</v>
      </c>
      <c r="B15" t="s">
        <v>3901</v>
      </c>
      <c r="C15" t="s">
        <v>3902</v>
      </c>
      <c r="D15" t="s">
        <v>3929</v>
      </c>
      <c r="E15" t="s">
        <v>3930</v>
      </c>
      <c r="F15" t="s">
        <v>3906</v>
      </c>
      <c r="G15" t="s">
        <v>152</v>
      </c>
    </row>
    <row r="16" spans="1:7" ht="11.25" customHeight="1">
      <c r="A16" s="301" t="s">
        <v>14</v>
      </c>
      <c r="B16" t="s">
        <v>3901</v>
      </c>
      <c r="C16" t="s">
        <v>3902</v>
      </c>
      <c r="D16" t="s">
        <v>3931</v>
      </c>
      <c r="E16" t="s">
        <v>3932</v>
      </c>
      <c r="F16" t="s">
        <v>3906</v>
      </c>
      <c r="G16" t="s">
        <v>1467</v>
      </c>
    </row>
    <row r="17" spans="1:7" ht="11.25" customHeight="1">
      <c r="A17" s="301" t="s">
        <v>14</v>
      </c>
      <c r="B17" t="s">
        <v>3901</v>
      </c>
      <c r="C17" t="s">
        <v>3902</v>
      </c>
      <c r="D17" t="s">
        <v>3933</v>
      </c>
      <c r="E17" t="s">
        <v>3934</v>
      </c>
      <c r="F17" t="s">
        <v>3906</v>
      </c>
      <c r="G17" t="s">
        <v>1473</v>
      </c>
    </row>
    <row r="18" spans="1:7" ht="11.25" customHeight="1">
      <c r="A18" s="301" t="s">
        <v>14</v>
      </c>
      <c r="B18" t="s">
        <v>3901</v>
      </c>
      <c r="C18" t="s">
        <v>3902</v>
      </c>
      <c r="D18" t="s">
        <v>3935</v>
      </c>
      <c r="E18" t="s">
        <v>3936</v>
      </c>
      <c r="F18" t="s">
        <v>3906</v>
      </c>
      <c r="G18" t="s">
        <v>1484</v>
      </c>
    </row>
    <row r="19" spans="1:7" ht="11.25" customHeight="1">
      <c r="A19" s="301" t="s">
        <v>14</v>
      </c>
      <c r="B19" t="s">
        <v>3937</v>
      </c>
      <c r="C19" t="s">
        <v>3938</v>
      </c>
      <c r="D19" t="s">
        <v>3937</v>
      </c>
      <c r="E19" t="s">
        <v>3938</v>
      </c>
      <c r="F19" t="s">
        <v>3903</v>
      </c>
      <c r="G19" t="s">
        <v>1498</v>
      </c>
    </row>
    <row r="20" spans="1:7" ht="11.25" customHeight="1">
      <c r="A20" s="301" t="s">
        <v>14</v>
      </c>
      <c r="B20" t="s">
        <v>3937</v>
      </c>
      <c r="C20" t="s">
        <v>3938</v>
      </c>
      <c r="D20" t="s">
        <v>3939</v>
      </c>
      <c r="E20" t="s">
        <v>3940</v>
      </c>
      <c r="F20" t="s">
        <v>3906</v>
      </c>
      <c r="G20" t="s">
        <v>1510</v>
      </c>
    </row>
    <row r="21" spans="1:7" ht="11.25" customHeight="1">
      <c r="A21" s="301" t="s">
        <v>14</v>
      </c>
      <c r="B21" t="s">
        <v>3937</v>
      </c>
      <c r="C21" t="s">
        <v>3938</v>
      </c>
      <c r="D21" t="s">
        <v>3941</v>
      </c>
      <c r="E21" t="s">
        <v>3942</v>
      </c>
      <c r="F21" t="s">
        <v>3906</v>
      </c>
      <c r="G21" t="s">
        <v>1519</v>
      </c>
    </row>
    <row r="22" spans="1:7" ht="11.25" customHeight="1">
      <c r="A22" s="301" t="s">
        <v>14</v>
      </c>
      <c r="B22" t="s">
        <v>3937</v>
      </c>
      <c r="C22" t="s">
        <v>3938</v>
      </c>
      <c r="D22" t="s">
        <v>3943</v>
      </c>
      <c r="E22" t="s">
        <v>3944</v>
      </c>
      <c r="F22" t="s">
        <v>3906</v>
      </c>
      <c r="G22" t="s">
        <v>1535</v>
      </c>
    </row>
    <row r="23" spans="1:7" ht="11.25" customHeight="1">
      <c r="A23" s="301" t="s">
        <v>14</v>
      </c>
      <c r="B23" t="s">
        <v>3937</v>
      </c>
      <c r="C23" t="s">
        <v>3938</v>
      </c>
      <c r="D23" t="s">
        <v>3945</v>
      </c>
      <c r="E23" t="s">
        <v>3946</v>
      </c>
      <c r="F23" t="s">
        <v>3906</v>
      </c>
      <c r="G23" t="s">
        <v>1542</v>
      </c>
    </row>
    <row r="24" spans="1:7" ht="11.25" customHeight="1">
      <c r="A24" s="301" t="s">
        <v>14</v>
      </c>
      <c r="B24" t="s">
        <v>3937</v>
      </c>
      <c r="C24" t="s">
        <v>3938</v>
      </c>
      <c r="D24" t="s">
        <v>3947</v>
      </c>
      <c r="E24" t="s">
        <v>3948</v>
      </c>
      <c r="F24" t="s">
        <v>3906</v>
      </c>
      <c r="G24" t="s">
        <v>1550</v>
      </c>
    </row>
    <row r="25" spans="1:7" ht="11.25" customHeight="1">
      <c r="A25" s="301" t="s">
        <v>14</v>
      </c>
      <c r="B25" t="s">
        <v>3937</v>
      </c>
      <c r="C25" t="s">
        <v>3938</v>
      </c>
      <c r="D25" t="s">
        <v>3949</v>
      </c>
      <c r="E25" t="s">
        <v>3950</v>
      </c>
      <c r="F25" t="s">
        <v>3906</v>
      </c>
      <c r="G25" t="s">
        <v>1557</v>
      </c>
    </row>
    <row r="26" spans="1:7" ht="11.25" customHeight="1">
      <c r="A26" s="301" t="s">
        <v>14</v>
      </c>
      <c r="B26" t="s">
        <v>3937</v>
      </c>
      <c r="C26" t="s">
        <v>3938</v>
      </c>
      <c r="D26" t="s">
        <v>3951</v>
      </c>
      <c r="E26" t="s">
        <v>3952</v>
      </c>
      <c r="F26" t="s">
        <v>3906</v>
      </c>
      <c r="G26" t="s">
        <v>1561</v>
      </c>
    </row>
    <row r="27" spans="1:7" ht="11.25" customHeight="1">
      <c r="A27" s="301" t="s">
        <v>14</v>
      </c>
      <c r="B27" t="s">
        <v>3937</v>
      </c>
      <c r="C27" t="s">
        <v>3938</v>
      </c>
      <c r="D27" t="s">
        <v>3953</v>
      </c>
      <c r="E27" t="s">
        <v>3954</v>
      </c>
      <c r="F27" t="s">
        <v>3906</v>
      </c>
      <c r="G27" t="s">
        <v>1566</v>
      </c>
    </row>
    <row r="28" spans="1:7" ht="11.25" customHeight="1">
      <c r="A28" s="301" t="s">
        <v>14</v>
      </c>
      <c r="B28" t="s">
        <v>3937</v>
      </c>
      <c r="C28" t="s">
        <v>3938</v>
      </c>
      <c r="D28" t="s">
        <v>3955</v>
      </c>
      <c r="E28" t="s">
        <v>3956</v>
      </c>
      <c r="F28" t="s">
        <v>3906</v>
      </c>
      <c r="G28" t="s">
        <v>1574</v>
      </c>
    </row>
    <row r="29" spans="1:7" ht="11.25" customHeight="1">
      <c r="A29" s="301" t="s">
        <v>14</v>
      </c>
      <c r="B29" t="s">
        <v>3957</v>
      </c>
      <c r="C29" t="s">
        <v>3958</v>
      </c>
      <c r="D29" t="s">
        <v>3957</v>
      </c>
      <c r="E29" t="s">
        <v>3958</v>
      </c>
      <c r="F29" t="s">
        <v>3903</v>
      </c>
      <c r="G29" t="s">
        <v>1576</v>
      </c>
    </row>
    <row r="30" spans="1:7" ht="11.25" customHeight="1">
      <c r="A30" s="301" t="s">
        <v>14</v>
      </c>
      <c r="B30" t="s">
        <v>3957</v>
      </c>
      <c r="C30" t="s">
        <v>3958</v>
      </c>
      <c r="D30" t="s">
        <v>3959</v>
      </c>
      <c r="E30" t="s">
        <v>3960</v>
      </c>
      <c r="F30" t="s">
        <v>3906</v>
      </c>
      <c r="G30" t="s">
        <v>1578</v>
      </c>
    </row>
    <row r="31" spans="1:7" ht="11.25" customHeight="1">
      <c r="A31" s="301" t="s">
        <v>14</v>
      </c>
      <c r="B31" t="s">
        <v>3957</v>
      </c>
      <c r="C31" t="s">
        <v>3958</v>
      </c>
      <c r="D31" t="s">
        <v>3961</v>
      </c>
      <c r="E31" t="s">
        <v>3962</v>
      </c>
      <c r="F31" t="s">
        <v>3906</v>
      </c>
      <c r="G31" t="s">
        <v>1584</v>
      </c>
    </row>
    <row r="32" spans="1:7" ht="11.25" customHeight="1">
      <c r="A32" s="301" t="s">
        <v>14</v>
      </c>
      <c r="B32" t="s">
        <v>3957</v>
      </c>
      <c r="C32" t="s">
        <v>3958</v>
      </c>
      <c r="D32" t="s">
        <v>3963</v>
      </c>
      <c r="E32" t="s">
        <v>3964</v>
      </c>
      <c r="F32" t="s">
        <v>3906</v>
      </c>
      <c r="G32" t="s">
        <v>1586</v>
      </c>
    </row>
    <row r="33" spans="1:7" ht="11.25" customHeight="1">
      <c r="A33" s="301" t="s">
        <v>14</v>
      </c>
      <c r="B33" t="s">
        <v>3957</v>
      </c>
      <c r="C33" t="s">
        <v>3958</v>
      </c>
      <c r="D33" t="s">
        <v>3965</v>
      </c>
      <c r="E33" t="s">
        <v>3966</v>
      </c>
      <c r="F33" t="s">
        <v>3906</v>
      </c>
      <c r="G33" t="s">
        <v>1588</v>
      </c>
    </row>
    <row r="34" spans="1:7" ht="11.25" customHeight="1">
      <c r="A34" s="301" t="s">
        <v>14</v>
      </c>
      <c r="B34" t="s">
        <v>3957</v>
      </c>
      <c r="C34" t="s">
        <v>3958</v>
      </c>
      <c r="D34" t="s">
        <v>3967</v>
      </c>
      <c r="E34" t="s">
        <v>3968</v>
      </c>
      <c r="F34" t="s">
        <v>3906</v>
      </c>
      <c r="G34" t="s">
        <v>1590</v>
      </c>
    </row>
    <row r="35" spans="1:7" ht="11.25" customHeight="1">
      <c r="A35" s="301" t="s">
        <v>14</v>
      </c>
      <c r="B35" t="s">
        <v>3957</v>
      </c>
      <c r="C35" t="s">
        <v>3958</v>
      </c>
      <c r="D35" t="s">
        <v>3969</v>
      </c>
      <c r="E35" t="s">
        <v>3970</v>
      </c>
      <c r="F35" t="s">
        <v>3906</v>
      </c>
      <c r="G35" t="s">
        <v>1595</v>
      </c>
    </row>
    <row r="36" spans="1:7" ht="11.25" customHeight="1">
      <c r="A36" s="301" t="s">
        <v>14</v>
      </c>
      <c r="B36" t="s">
        <v>3957</v>
      </c>
      <c r="C36" t="s">
        <v>3958</v>
      </c>
      <c r="D36" t="s">
        <v>3921</v>
      </c>
      <c r="E36" t="s">
        <v>3971</v>
      </c>
      <c r="F36" t="s">
        <v>3906</v>
      </c>
      <c r="G36" t="s">
        <v>1600</v>
      </c>
    </row>
    <row r="37" spans="1:7" ht="11.25" customHeight="1">
      <c r="A37" s="301" t="s">
        <v>14</v>
      </c>
      <c r="B37" t="s">
        <v>3957</v>
      </c>
      <c r="C37" t="s">
        <v>3958</v>
      </c>
      <c r="D37" t="s">
        <v>3972</v>
      </c>
      <c r="E37" t="s">
        <v>3973</v>
      </c>
      <c r="F37" t="s">
        <v>3906</v>
      </c>
      <c r="G37" t="s">
        <v>1604</v>
      </c>
    </row>
    <row r="38" spans="1:7" ht="11.25" customHeight="1">
      <c r="A38" s="301" t="s">
        <v>14</v>
      </c>
      <c r="B38" t="s">
        <v>3957</v>
      </c>
      <c r="C38" t="s">
        <v>3958</v>
      </c>
      <c r="D38" t="s">
        <v>3974</v>
      </c>
      <c r="E38" t="s">
        <v>3975</v>
      </c>
      <c r="F38" t="s">
        <v>3906</v>
      </c>
      <c r="G38" t="s">
        <v>1612</v>
      </c>
    </row>
    <row r="39" spans="1:7" ht="11.25" customHeight="1">
      <c r="A39" s="301" t="s">
        <v>14</v>
      </c>
      <c r="B39" t="s">
        <v>3957</v>
      </c>
      <c r="C39" t="s">
        <v>3958</v>
      </c>
      <c r="D39" t="s">
        <v>3976</v>
      </c>
      <c r="E39" t="s">
        <v>3977</v>
      </c>
      <c r="F39" t="s">
        <v>3906</v>
      </c>
      <c r="G39" t="s">
        <v>1618</v>
      </c>
    </row>
    <row r="40" spans="1:7" ht="11.25" customHeight="1">
      <c r="A40" s="301" t="s">
        <v>14</v>
      </c>
      <c r="B40" t="s">
        <v>3957</v>
      </c>
      <c r="C40" t="s">
        <v>3958</v>
      </c>
      <c r="D40" t="s">
        <v>3978</v>
      </c>
      <c r="E40" t="s">
        <v>3979</v>
      </c>
      <c r="F40" t="s">
        <v>3906</v>
      </c>
      <c r="G40" t="s">
        <v>1623</v>
      </c>
    </row>
    <row r="41" spans="1:7" ht="11.25" customHeight="1">
      <c r="A41" s="301" t="s">
        <v>14</v>
      </c>
      <c r="B41" t="s">
        <v>3957</v>
      </c>
      <c r="C41" t="s">
        <v>3958</v>
      </c>
      <c r="D41" t="s">
        <v>3980</v>
      </c>
      <c r="E41" t="s">
        <v>3981</v>
      </c>
      <c r="F41" t="s">
        <v>3906</v>
      </c>
      <c r="G41" t="s">
        <v>1627</v>
      </c>
    </row>
    <row r="42" spans="1:7" ht="11.25" customHeight="1">
      <c r="A42" s="301" t="s">
        <v>14</v>
      </c>
      <c r="B42" t="s">
        <v>3957</v>
      </c>
      <c r="C42" t="s">
        <v>3958</v>
      </c>
      <c r="D42" t="s">
        <v>3982</v>
      </c>
      <c r="E42" t="s">
        <v>3983</v>
      </c>
      <c r="F42" t="s">
        <v>3984</v>
      </c>
      <c r="G42" t="s">
        <v>1630</v>
      </c>
    </row>
    <row r="43" spans="1:7" ht="11.25" customHeight="1">
      <c r="A43" s="301" t="s">
        <v>14</v>
      </c>
      <c r="B43" t="s">
        <v>3985</v>
      </c>
      <c r="C43" t="s">
        <v>3986</v>
      </c>
      <c r="D43" t="s">
        <v>3987</v>
      </c>
      <c r="E43" t="s">
        <v>3988</v>
      </c>
      <c r="F43" t="s">
        <v>3906</v>
      </c>
      <c r="G43" t="s">
        <v>1637</v>
      </c>
    </row>
    <row r="44" spans="1:7" ht="11.25" customHeight="1">
      <c r="A44" s="301" t="s">
        <v>14</v>
      </c>
      <c r="B44" t="s">
        <v>3985</v>
      </c>
      <c r="C44" t="s">
        <v>3986</v>
      </c>
      <c r="D44" t="s">
        <v>3985</v>
      </c>
      <c r="E44" t="s">
        <v>3986</v>
      </c>
      <c r="F44" t="s">
        <v>3903</v>
      </c>
      <c r="G44" t="s">
        <v>1646</v>
      </c>
    </row>
    <row r="45" spans="1:7" ht="11.25" customHeight="1">
      <c r="A45" s="301" t="s">
        <v>14</v>
      </c>
      <c r="B45" t="s">
        <v>3985</v>
      </c>
      <c r="C45" t="s">
        <v>3986</v>
      </c>
      <c r="D45" t="s">
        <v>3989</v>
      </c>
      <c r="E45" t="s">
        <v>3990</v>
      </c>
      <c r="F45" t="s">
        <v>3906</v>
      </c>
      <c r="G45" t="s">
        <v>1651</v>
      </c>
    </row>
    <row r="46" spans="1:7" ht="11.25" customHeight="1">
      <c r="A46" s="301" t="s">
        <v>14</v>
      </c>
      <c r="B46" t="s">
        <v>3985</v>
      </c>
      <c r="C46" t="s">
        <v>3986</v>
      </c>
      <c r="D46" t="s">
        <v>3991</v>
      </c>
      <c r="E46" t="s">
        <v>3992</v>
      </c>
      <c r="F46" t="s">
        <v>3906</v>
      </c>
      <c r="G46" t="s">
        <v>1655</v>
      </c>
    </row>
    <row r="47" spans="1:7" ht="11.25" customHeight="1">
      <c r="A47" s="301" t="s">
        <v>14</v>
      </c>
      <c r="B47" t="s">
        <v>3985</v>
      </c>
      <c r="C47" t="s">
        <v>3986</v>
      </c>
      <c r="D47" t="s">
        <v>3993</v>
      </c>
      <c r="E47" t="s">
        <v>3994</v>
      </c>
      <c r="F47" t="s">
        <v>3906</v>
      </c>
      <c r="G47" t="s">
        <v>1661</v>
      </c>
    </row>
    <row r="48" spans="1:7" ht="11.25" customHeight="1">
      <c r="A48" s="301" t="s">
        <v>14</v>
      </c>
      <c r="B48" t="s">
        <v>3985</v>
      </c>
      <c r="C48" t="s">
        <v>3986</v>
      </c>
      <c r="D48" t="s">
        <v>3995</v>
      </c>
      <c r="E48" t="s">
        <v>3996</v>
      </c>
      <c r="F48" t="s">
        <v>3906</v>
      </c>
      <c r="G48" t="s">
        <v>1666</v>
      </c>
    </row>
    <row r="49" spans="1:7" ht="11.25" customHeight="1">
      <c r="A49" s="301" t="s">
        <v>14</v>
      </c>
      <c r="B49" t="s">
        <v>3985</v>
      </c>
      <c r="C49" t="s">
        <v>3986</v>
      </c>
      <c r="D49" t="s">
        <v>3997</v>
      </c>
      <c r="E49" t="s">
        <v>3998</v>
      </c>
      <c r="F49" t="s">
        <v>3984</v>
      </c>
      <c r="G49" t="s">
        <v>1669</v>
      </c>
    </row>
    <row r="50" spans="1:7" ht="11.25" customHeight="1">
      <c r="A50" s="301" t="s">
        <v>14</v>
      </c>
      <c r="B50" t="s">
        <v>3999</v>
      </c>
      <c r="C50" t="s">
        <v>4000</v>
      </c>
      <c r="D50" t="s">
        <v>4001</v>
      </c>
      <c r="E50" t="s">
        <v>4002</v>
      </c>
      <c r="F50" t="s">
        <v>3906</v>
      </c>
      <c r="G50" t="s">
        <v>1673</v>
      </c>
    </row>
    <row r="51" spans="1:7" ht="11.25" customHeight="1">
      <c r="A51" s="301" t="s">
        <v>14</v>
      </c>
      <c r="B51" t="s">
        <v>3999</v>
      </c>
      <c r="C51" t="s">
        <v>4000</v>
      </c>
      <c r="D51" t="s">
        <v>3999</v>
      </c>
      <c r="E51" t="s">
        <v>4000</v>
      </c>
      <c r="F51" t="s">
        <v>3903</v>
      </c>
      <c r="G51" t="s">
        <v>1677</v>
      </c>
    </row>
    <row r="52" spans="1:7" ht="11.25" customHeight="1">
      <c r="A52" s="301" t="s">
        <v>14</v>
      </c>
      <c r="B52" t="s">
        <v>3999</v>
      </c>
      <c r="C52" t="s">
        <v>4000</v>
      </c>
      <c r="D52" t="s">
        <v>4003</v>
      </c>
      <c r="E52" t="s">
        <v>4004</v>
      </c>
      <c r="F52" t="s">
        <v>3906</v>
      </c>
      <c r="G52" t="s">
        <v>1681</v>
      </c>
    </row>
    <row r="53" spans="1:7" ht="11.25" customHeight="1">
      <c r="A53" s="301" t="s">
        <v>14</v>
      </c>
      <c r="B53" t="s">
        <v>3999</v>
      </c>
      <c r="C53" t="s">
        <v>4000</v>
      </c>
      <c r="D53" t="s">
        <v>4005</v>
      </c>
      <c r="E53" t="s">
        <v>4006</v>
      </c>
      <c r="F53" t="s">
        <v>3906</v>
      </c>
      <c r="G53" t="s">
        <v>1683</v>
      </c>
    </row>
    <row r="54" spans="1:7" ht="11.25" customHeight="1">
      <c r="A54" s="301" t="s">
        <v>14</v>
      </c>
      <c r="B54" t="s">
        <v>3999</v>
      </c>
      <c r="C54" t="s">
        <v>4000</v>
      </c>
      <c r="D54" t="s">
        <v>4007</v>
      </c>
      <c r="E54" t="s">
        <v>4008</v>
      </c>
      <c r="F54" t="s">
        <v>3906</v>
      </c>
      <c r="G54" t="s">
        <v>1686</v>
      </c>
    </row>
    <row r="55" spans="1:7" ht="11.25" customHeight="1">
      <c r="A55" s="301" t="s">
        <v>14</v>
      </c>
      <c r="B55" t="s">
        <v>3999</v>
      </c>
      <c r="C55" t="s">
        <v>4000</v>
      </c>
      <c r="D55" t="s">
        <v>4009</v>
      </c>
      <c r="E55" t="s">
        <v>4010</v>
      </c>
      <c r="F55" t="s">
        <v>3906</v>
      </c>
      <c r="G55" t="s">
        <v>1690</v>
      </c>
    </row>
    <row r="56" spans="1:7" ht="11.25" customHeight="1">
      <c r="A56" s="301" t="s">
        <v>14</v>
      </c>
      <c r="B56" t="s">
        <v>3999</v>
      </c>
      <c r="C56" t="s">
        <v>4000</v>
      </c>
      <c r="D56" t="s">
        <v>4011</v>
      </c>
      <c r="E56" t="s">
        <v>4012</v>
      </c>
      <c r="F56" t="s">
        <v>3906</v>
      </c>
      <c r="G56" t="s">
        <v>1693</v>
      </c>
    </row>
    <row r="57" spans="1:7" ht="11.25" customHeight="1">
      <c r="A57" s="301" t="s">
        <v>14</v>
      </c>
      <c r="B57" t="s">
        <v>3999</v>
      </c>
      <c r="C57" t="s">
        <v>4000</v>
      </c>
      <c r="D57" t="s">
        <v>4013</v>
      </c>
      <c r="E57" t="s">
        <v>4014</v>
      </c>
      <c r="F57" t="s">
        <v>3906</v>
      </c>
      <c r="G57" t="s">
        <v>1696</v>
      </c>
    </row>
    <row r="58" spans="1:7" ht="11.25" customHeight="1">
      <c r="A58" s="301" t="s">
        <v>14</v>
      </c>
      <c r="B58" t="s">
        <v>3999</v>
      </c>
      <c r="C58" t="s">
        <v>4000</v>
      </c>
      <c r="D58" t="s">
        <v>4015</v>
      </c>
      <c r="E58" t="s">
        <v>4016</v>
      </c>
      <c r="F58" t="s">
        <v>3906</v>
      </c>
      <c r="G58" t="s">
        <v>1699</v>
      </c>
    </row>
    <row r="59" spans="1:7" ht="11.25" customHeight="1">
      <c r="A59" s="301" t="s">
        <v>14</v>
      </c>
      <c r="B59" t="s">
        <v>3999</v>
      </c>
      <c r="C59" t="s">
        <v>4000</v>
      </c>
      <c r="D59" t="s">
        <v>4017</v>
      </c>
      <c r="E59" t="s">
        <v>4018</v>
      </c>
      <c r="F59" t="s">
        <v>3906</v>
      </c>
      <c r="G59" t="s">
        <v>1703</v>
      </c>
    </row>
    <row r="60" spans="1:7" ht="11.25" customHeight="1">
      <c r="A60" s="301" t="s">
        <v>14</v>
      </c>
      <c r="B60" t="s">
        <v>3999</v>
      </c>
      <c r="C60" t="s">
        <v>4000</v>
      </c>
      <c r="D60" t="s">
        <v>4019</v>
      </c>
      <c r="E60" t="s">
        <v>4020</v>
      </c>
      <c r="F60" t="s">
        <v>3906</v>
      </c>
      <c r="G60" t="s">
        <v>1706</v>
      </c>
    </row>
    <row r="61" spans="1:7" ht="11.25" customHeight="1">
      <c r="A61" s="301" t="s">
        <v>14</v>
      </c>
      <c r="B61" t="s">
        <v>3999</v>
      </c>
      <c r="C61" t="s">
        <v>4000</v>
      </c>
      <c r="D61" t="s">
        <v>4021</v>
      </c>
      <c r="E61" t="s">
        <v>4022</v>
      </c>
      <c r="F61" t="s">
        <v>3906</v>
      </c>
      <c r="G61" t="s">
        <v>4023</v>
      </c>
    </row>
    <row r="62" spans="1:7" ht="11.25" customHeight="1">
      <c r="A62" s="301" t="s">
        <v>14</v>
      </c>
      <c r="B62" t="s">
        <v>4024</v>
      </c>
      <c r="C62" t="s">
        <v>4025</v>
      </c>
      <c r="D62" t="s">
        <v>4026</v>
      </c>
      <c r="E62" t="s">
        <v>4027</v>
      </c>
      <c r="F62" t="s">
        <v>3906</v>
      </c>
      <c r="G62" t="s">
        <v>4028</v>
      </c>
    </row>
    <row r="63" spans="1:7" ht="11.25" customHeight="1">
      <c r="A63" s="301" t="s">
        <v>14</v>
      </c>
      <c r="B63" t="s">
        <v>4024</v>
      </c>
      <c r="C63" t="s">
        <v>4025</v>
      </c>
      <c r="D63" t="s">
        <v>4024</v>
      </c>
      <c r="E63" t="s">
        <v>4025</v>
      </c>
      <c r="F63" t="s">
        <v>3903</v>
      </c>
      <c r="G63" t="s">
        <v>4029</v>
      </c>
    </row>
    <row r="64" spans="1:7" ht="11.25" customHeight="1">
      <c r="A64" s="301" t="s">
        <v>14</v>
      </c>
      <c r="B64" t="s">
        <v>4024</v>
      </c>
      <c r="C64" t="s">
        <v>4025</v>
      </c>
      <c r="D64" t="s">
        <v>4030</v>
      </c>
      <c r="E64" t="s">
        <v>4031</v>
      </c>
      <c r="F64" t="s">
        <v>3906</v>
      </c>
      <c r="G64" t="s">
        <v>4032</v>
      </c>
    </row>
    <row r="65" spans="1:7" ht="11.25" customHeight="1">
      <c r="A65" s="301" t="s">
        <v>14</v>
      </c>
      <c r="B65" t="s">
        <v>4024</v>
      </c>
      <c r="C65" t="s">
        <v>4025</v>
      </c>
      <c r="D65" t="s">
        <v>4033</v>
      </c>
      <c r="E65" t="s">
        <v>4034</v>
      </c>
      <c r="F65" t="s">
        <v>3906</v>
      </c>
      <c r="G65" t="s">
        <v>4035</v>
      </c>
    </row>
    <row r="66" spans="1:7" ht="11.25" customHeight="1">
      <c r="A66" s="301" t="s">
        <v>14</v>
      </c>
      <c r="B66" t="s">
        <v>4024</v>
      </c>
      <c r="C66" t="s">
        <v>4025</v>
      </c>
      <c r="D66" t="s">
        <v>4036</v>
      </c>
      <c r="E66" t="s">
        <v>4037</v>
      </c>
      <c r="F66" t="s">
        <v>3906</v>
      </c>
      <c r="G66" t="s">
        <v>4038</v>
      </c>
    </row>
    <row r="67" spans="1:7" ht="11.25" customHeight="1">
      <c r="A67" s="301" t="s">
        <v>14</v>
      </c>
      <c r="B67" t="s">
        <v>4024</v>
      </c>
      <c r="C67" t="s">
        <v>4025</v>
      </c>
      <c r="D67" t="s">
        <v>4039</v>
      </c>
      <c r="E67" t="s">
        <v>4040</v>
      </c>
      <c r="F67" t="s">
        <v>3906</v>
      </c>
      <c r="G67" t="s">
        <v>1928</v>
      </c>
    </row>
    <row r="68" spans="1:7" ht="11.25" customHeight="1">
      <c r="A68" s="301" t="s">
        <v>14</v>
      </c>
      <c r="B68" t="s">
        <v>4024</v>
      </c>
      <c r="C68" t="s">
        <v>4025</v>
      </c>
      <c r="D68" t="s">
        <v>4041</v>
      </c>
      <c r="E68" t="s">
        <v>4042</v>
      </c>
      <c r="F68" t="s">
        <v>3906</v>
      </c>
      <c r="G68" t="s">
        <v>4043</v>
      </c>
    </row>
    <row r="69" spans="1:7" ht="11.25" customHeight="1">
      <c r="A69" s="301" t="s">
        <v>14</v>
      </c>
      <c r="B69" t="s">
        <v>4024</v>
      </c>
      <c r="C69" t="s">
        <v>4025</v>
      </c>
      <c r="D69" t="s">
        <v>4044</v>
      </c>
      <c r="E69" t="s">
        <v>4045</v>
      </c>
      <c r="F69" t="s">
        <v>3906</v>
      </c>
      <c r="G69" t="s">
        <v>2138</v>
      </c>
    </row>
    <row r="70" spans="1:7" ht="11.25" customHeight="1">
      <c r="A70" s="301" t="s">
        <v>14</v>
      </c>
      <c r="B70" t="s">
        <v>4024</v>
      </c>
      <c r="C70" t="s">
        <v>4025</v>
      </c>
      <c r="D70" t="s">
        <v>4046</v>
      </c>
      <c r="E70" t="s">
        <v>4047</v>
      </c>
      <c r="F70" t="s">
        <v>3906</v>
      </c>
      <c r="G70" t="s">
        <v>4048</v>
      </c>
    </row>
    <row r="71" spans="1:7" ht="11.25" customHeight="1">
      <c r="A71" s="301" t="s">
        <v>14</v>
      </c>
      <c r="B71" t="s">
        <v>4049</v>
      </c>
      <c r="C71" t="s">
        <v>4050</v>
      </c>
      <c r="D71" t="s">
        <v>4051</v>
      </c>
      <c r="E71" t="s">
        <v>4052</v>
      </c>
      <c r="F71" t="s">
        <v>3906</v>
      </c>
      <c r="G71" t="s">
        <v>4053</v>
      </c>
    </row>
    <row r="72" spans="1:7" ht="11.25" customHeight="1">
      <c r="A72" s="301" t="s">
        <v>14</v>
      </c>
      <c r="B72" t="s">
        <v>4049</v>
      </c>
      <c r="C72" t="s">
        <v>4050</v>
      </c>
      <c r="D72" t="s">
        <v>4054</v>
      </c>
      <c r="E72" t="s">
        <v>4055</v>
      </c>
      <c r="F72" t="s">
        <v>3906</v>
      </c>
      <c r="G72" t="s">
        <v>4056</v>
      </c>
    </row>
    <row r="73" spans="1:7" ht="11.25" customHeight="1">
      <c r="A73" s="301" t="s">
        <v>14</v>
      </c>
      <c r="B73" t="s">
        <v>4049</v>
      </c>
      <c r="C73" t="s">
        <v>4050</v>
      </c>
      <c r="D73" t="s">
        <v>4057</v>
      </c>
      <c r="E73" t="s">
        <v>4058</v>
      </c>
      <c r="F73" t="s">
        <v>3906</v>
      </c>
      <c r="G73" t="s">
        <v>4059</v>
      </c>
    </row>
    <row r="74" spans="1:7" ht="11.25" customHeight="1">
      <c r="A74" s="301" t="s">
        <v>14</v>
      </c>
      <c r="B74" t="s">
        <v>4049</v>
      </c>
      <c r="C74" t="s">
        <v>4050</v>
      </c>
      <c r="D74" t="s">
        <v>4049</v>
      </c>
      <c r="E74" t="s">
        <v>4050</v>
      </c>
      <c r="F74" t="s">
        <v>3903</v>
      </c>
      <c r="G74" t="s">
        <v>4060</v>
      </c>
    </row>
    <row r="75" spans="1:7" ht="11.25" customHeight="1">
      <c r="A75" s="301" t="s">
        <v>14</v>
      </c>
      <c r="B75" t="s">
        <v>4049</v>
      </c>
      <c r="C75" t="s">
        <v>4050</v>
      </c>
      <c r="D75" t="s">
        <v>4061</v>
      </c>
      <c r="E75" t="s">
        <v>4062</v>
      </c>
      <c r="F75" t="s">
        <v>3906</v>
      </c>
      <c r="G75" t="s">
        <v>4063</v>
      </c>
    </row>
    <row r="76" spans="1:7" ht="11.25" customHeight="1">
      <c r="A76" s="301" t="s">
        <v>14</v>
      </c>
      <c r="B76" t="s">
        <v>4049</v>
      </c>
      <c r="C76" t="s">
        <v>4050</v>
      </c>
      <c r="D76" t="s">
        <v>4064</v>
      </c>
      <c r="E76" t="s">
        <v>4065</v>
      </c>
      <c r="F76" t="s">
        <v>3906</v>
      </c>
      <c r="G76" t="s">
        <v>4066</v>
      </c>
    </row>
    <row r="77" spans="1:7" ht="11.25" customHeight="1">
      <c r="A77" s="301" t="s">
        <v>14</v>
      </c>
      <c r="B77" t="s">
        <v>4049</v>
      </c>
      <c r="C77" t="s">
        <v>4050</v>
      </c>
      <c r="D77" t="s">
        <v>4067</v>
      </c>
      <c r="E77" t="s">
        <v>4068</v>
      </c>
      <c r="F77" t="s">
        <v>3906</v>
      </c>
      <c r="G77" t="s">
        <v>4069</v>
      </c>
    </row>
    <row r="78" spans="1:7" ht="11.25" customHeight="1">
      <c r="A78" s="301" t="s">
        <v>14</v>
      </c>
      <c r="B78" t="s">
        <v>4049</v>
      </c>
      <c r="C78" t="s">
        <v>4050</v>
      </c>
      <c r="D78" t="s">
        <v>4070</v>
      </c>
      <c r="E78" t="s">
        <v>4071</v>
      </c>
      <c r="F78" t="s">
        <v>3906</v>
      </c>
      <c r="G78" t="s">
        <v>4072</v>
      </c>
    </row>
    <row r="79" spans="1:7" ht="11.25" customHeight="1">
      <c r="A79" s="301" t="s">
        <v>14</v>
      </c>
      <c r="B79" t="s">
        <v>4049</v>
      </c>
      <c r="C79" t="s">
        <v>4050</v>
      </c>
      <c r="D79" t="s">
        <v>4073</v>
      </c>
      <c r="E79" t="s">
        <v>4074</v>
      </c>
      <c r="F79" t="s">
        <v>4075</v>
      </c>
      <c r="G79" t="s">
        <v>4076</v>
      </c>
    </row>
    <row r="80" spans="1:7" ht="11.25" customHeight="1">
      <c r="A80" s="301" t="s">
        <v>14</v>
      </c>
      <c r="B80" t="s">
        <v>4049</v>
      </c>
      <c r="C80" t="s">
        <v>4050</v>
      </c>
      <c r="D80" t="s">
        <v>4077</v>
      </c>
      <c r="E80" t="s">
        <v>4078</v>
      </c>
      <c r="F80" t="s">
        <v>3906</v>
      </c>
      <c r="G80" t="s">
        <v>4079</v>
      </c>
    </row>
    <row r="81" spans="1:7" ht="11.25" customHeight="1">
      <c r="A81" s="301" t="s">
        <v>14</v>
      </c>
      <c r="B81" t="s">
        <v>4049</v>
      </c>
      <c r="C81" t="s">
        <v>4050</v>
      </c>
      <c r="D81" t="s">
        <v>4080</v>
      </c>
      <c r="E81" t="s">
        <v>4081</v>
      </c>
      <c r="F81" t="s">
        <v>3906</v>
      </c>
      <c r="G81" t="s">
        <v>4082</v>
      </c>
    </row>
    <row r="82" spans="1:7" ht="11.25" customHeight="1">
      <c r="A82" s="301" t="s">
        <v>14</v>
      </c>
      <c r="B82" t="s">
        <v>4049</v>
      </c>
      <c r="C82" t="s">
        <v>4050</v>
      </c>
      <c r="D82" t="s">
        <v>4083</v>
      </c>
      <c r="E82" t="s">
        <v>4084</v>
      </c>
      <c r="F82" t="s">
        <v>3906</v>
      </c>
      <c r="G82" t="s">
        <v>4085</v>
      </c>
    </row>
    <row r="83" spans="1:7" ht="11.25" customHeight="1">
      <c r="A83" s="301" t="s">
        <v>14</v>
      </c>
      <c r="B83" t="s">
        <v>4049</v>
      </c>
      <c r="C83" t="s">
        <v>4050</v>
      </c>
      <c r="D83" t="s">
        <v>4086</v>
      </c>
      <c r="E83" t="s">
        <v>4087</v>
      </c>
      <c r="F83" t="s">
        <v>3906</v>
      </c>
      <c r="G83" t="s">
        <v>4088</v>
      </c>
    </row>
    <row r="84" spans="1:7" ht="11.25" customHeight="1">
      <c r="A84" s="301" t="s">
        <v>14</v>
      </c>
      <c r="B84" t="s">
        <v>4049</v>
      </c>
      <c r="C84" t="s">
        <v>4050</v>
      </c>
      <c r="D84" t="s">
        <v>4089</v>
      </c>
      <c r="E84" t="s">
        <v>4090</v>
      </c>
      <c r="F84" t="s">
        <v>3906</v>
      </c>
      <c r="G84" t="s">
        <v>4091</v>
      </c>
    </row>
    <row r="85" spans="1:7" ht="11.25" customHeight="1">
      <c r="A85" s="301" t="s">
        <v>14</v>
      </c>
      <c r="B85" t="s">
        <v>4049</v>
      </c>
      <c r="C85" t="s">
        <v>4050</v>
      </c>
      <c r="D85" t="s">
        <v>4092</v>
      </c>
      <c r="E85" t="s">
        <v>4093</v>
      </c>
      <c r="F85" t="s">
        <v>3906</v>
      </c>
      <c r="G85" t="s">
        <v>4094</v>
      </c>
    </row>
    <row r="86" spans="1:7" ht="11.25" customHeight="1">
      <c r="A86" s="301" t="s">
        <v>14</v>
      </c>
      <c r="B86" t="s">
        <v>4049</v>
      </c>
      <c r="C86" t="s">
        <v>4050</v>
      </c>
      <c r="D86" t="s">
        <v>4095</v>
      </c>
      <c r="E86" t="s">
        <v>4096</v>
      </c>
      <c r="F86" t="s">
        <v>3906</v>
      </c>
      <c r="G86" t="s">
        <v>4097</v>
      </c>
    </row>
    <row r="87" spans="1:7" ht="11.25" customHeight="1">
      <c r="A87" s="301" t="s">
        <v>14</v>
      </c>
      <c r="B87" t="s">
        <v>4049</v>
      </c>
      <c r="C87" t="s">
        <v>4050</v>
      </c>
      <c r="D87" t="s">
        <v>4098</v>
      </c>
      <c r="E87" t="s">
        <v>4099</v>
      </c>
      <c r="F87" t="s">
        <v>3906</v>
      </c>
      <c r="G87" t="s">
        <v>4100</v>
      </c>
    </row>
    <row r="88" spans="1:7" ht="11.25" customHeight="1">
      <c r="A88" s="301" t="s">
        <v>14</v>
      </c>
      <c r="B88" t="s">
        <v>4049</v>
      </c>
      <c r="C88" t="s">
        <v>4050</v>
      </c>
      <c r="D88" t="s">
        <v>4101</v>
      </c>
      <c r="E88" t="s">
        <v>4102</v>
      </c>
      <c r="F88" t="s">
        <v>3906</v>
      </c>
      <c r="G88" t="s">
        <v>4103</v>
      </c>
    </row>
    <row r="89" spans="1:7" ht="11.25" customHeight="1">
      <c r="A89" s="301" t="s">
        <v>14</v>
      </c>
      <c r="B89" t="s">
        <v>4049</v>
      </c>
      <c r="C89" t="s">
        <v>4050</v>
      </c>
      <c r="D89" t="s">
        <v>4104</v>
      </c>
      <c r="E89" t="s">
        <v>4105</v>
      </c>
      <c r="F89" t="s">
        <v>3906</v>
      </c>
      <c r="G89" t="s">
        <v>4106</v>
      </c>
    </row>
    <row r="90" spans="1:7" ht="11.25" customHeight="1">
      <c r="A90" s="301" t="s">
        <v>14</v>
      </c>
      <c r="B90" t="s">
        <v>4049</v>
      </c>
      <c r="C90" t="s">
        <v>4050</v>
      </c>
      <c r="D90" t="s">
        <v>4107</v>
      </c>
      <c r="E90" t="s">
        <v>4108</v>
      </c>
      <c r="F90" t="s">
        <v>3906</v>
      </c>
      <c r="G90" t="s">
        <v>4109</v>
      </c>
    </row>
    <row r="91" spans="1:7" ht="11.25" customHeight="1">
      <c r="A91" s="301" t="s">
        <v>14</v>
      </c>
      <c r="B91" t="s">
        <v>4110</v>
      </c>
      <c r="C91" t="s">
        <v>4111</v>
      </c>
      <c r="D91" t="s">
        <v>4112</v>
      </c>
      <c r="E91" t="s">
        <v>4113</v>
      </c>
      <c r="F91" t="s">
        <v>3906</v>
      </c>
      <c r="G91" t="s">
        <v>4114</v>
      </c>
    </row>
    <row r="92" spans="1:7" ht="11.25" customHeight="1">
      <c r="A92" s="301" t="s">
        <v>14</v>
      </c>
      <c r="B92" t="s">
        <v>4110</v>
      </c>
      <c r="C92" t="s">
        <v>4111</v>
      </c>
      <c r="D92" t="s">
        <v>4115</v>
      </c>
      <c r="E92" t="s">
        <v>4116</v>
      </c>
      <c r="F92" t="s">
        <v>3906</v>
      </c>
      <c r="G92" t="s">
        <v>4117</v>
      </c>
    </row>
    <row r="93" spans="1:7" ht="11.25" customHeight="1">
      <c r="A93" s="301" t="s">
        <v>14</v>
      </c>
      <c r="B93" t="s">
        <v>4110</v>
      </c>
      <c r="C93" t="s">
        <v>4111</v>
      </c>
      <c r="D93" t="s">
        <v>4110</v>
      </c>
      <c r="E93" t="s">
        <v>4111</v>
      </c>
      <c r="F93" t="s">
        <v>3903</v>
      </c>
      <c r="G93" t="s">
        <v>4118</v>
      </c>
    </row>
    <row r="94" spans="1:7" ht="11.25" customHeight="1">
      <c r="A94" s="301" t="s">
        <v>14</v>
      </c>
      <c r="B94" t="s">
        <v>4110</v>
      </c>
      <c r="C94" t="s">
        <v>4111</v>
      </c>
      <c r="D94" t="s">
        <v>4119</v>
      </c>
      <c r="E94" t="s">
        <v>4120</v>
      </c>
      <c r="F94" t="s">
        <v>3906</v>
      </c>
      <c r="G94" t="s">
        <v>4121</v>
      </c>
    </row>
    <row r="95" spans="1:7" ht="11.25" customHeight="1">
      <c r="A95" s="301" t="s">
        <v>14</v>
      </c>
      <c r="B95" t="s">
        <v>4110</v>
      </c>
      <c r="C95" t="s">
        <v>4111</v>
      </c>
      <c r="D95" t="s">
        <v>3963</v>
      </c>
      <c r="E95" t="s">
        <v>4122</v>
      </c>
      <c r="F95" t="s">
        <v>3906</v>
      </c>
      <c r="G95" t="s">
        <v>4123</v>
      </c>
    </row>
    <row r="96" spans="1:7" ht="11.25" customHeight="1">
      <c r="A96" s="301" t="s">
        <v>14</v>
      </c>
      <c r="B96" t="s">
        <v>4110</v>
      </c>
      <c r="C96" t="s">
        <v>4111</v>
      </c>
      <c r="D96" t="s">
        <v>4124</v>
      </c>
      <c r="E96" t="s">
        <v>4125</v>
      </c>
      <c r="F96" t="s">
        <v>3906</v>
      </c>
      <c r="G96" t="s">
        <v>4126</v>
      </c>
    </row>
    <row r="97" spans="1:7" ht="11.25" customHeight="1">
      <c r="A97" s="301" t="s">
        <v>14</v>
      </c>
      <c r="B97" t="s">
        <v>4110</v>
      </c>
      <c r="C97" t="s">
        <v>4111</v>
      </c>
      <c r="D97" t="s">
        <v>4127</v>
      </c>
      <c r="E97" t="s">
        <v>4128</v>
      </c>
      <c r="F97" t="s">
        <v>3906</v>
      </c>
      <c r="G97" t="s">
        <v>4129</v>
      </c>
    </row>
    <row r="98" spans="1:7" ht="11.25" customHeight="1">
      <c r="A98" s="301" t="s">
        <v>14</v>
      </c>
      <c r="B98" t="s">
        <v>4110</v>
      </c>
      <c r="C98" t="s">
        <v>4111</v>
      </c>
      <c r="D98" t="s">
        <v>4130</v>
      </c>
      <c r="E98" t="s">
        <v>4131</v>
      </c>
      <c r="F98" t="s">
        <v>3984</v>
      </c>
      <c r="G98" t="s">
        <v>4132</v>
      </c>
    </row>
    <row r="99" spans="1:7" ht="11.25" customHeight="1">
      <c r="A99" s="301" t="s">
        <v>14</v>
      </c>
      <c r="B99" t="s">
        <v>4110</v>
      </c>
      <c r="C99" t="s">
        <v>4111</v>
      </c>
      <c r="D99" t="s">
        <v>4133</v>
      </c>
      <c r="E99" t="s">
        <v>4134</v>
      </c>
      <c r="F99" t="s">
        <v>3906</v>
      </c>
      <c r="G99" t="s">
        <v>4135</v>
      </c>
    </row>
    <row r="100" spans="1:7" ht="11.25" customHeight="1">
      <c r="A100" s="301" t="s">
        <v>14</v>
      </c>
      <c r="B100" t="s">
        <v>4110</v>
      </c>
      <c r="C100" t="s">
        <v>4111</v>
      </c>
      <c r="D100" t="s">
        <v>4136</v>
      </c>
      <c r="E100" t="s">
        <v>4137</v>
      </c>
      <c r="F100" t="s">
        <v>3906</v>
      </c>
      <c r="G100" t="s">
        <v>4138</v>
      </c>
    </row>
    <row r="101" spans="1:7" ht="11.25" customHeight="1">
      <c r="A101" s="301" t="s">
        <v>14</v>
      </c>
      <c r="B101" t="s">
        <v>4110</v>
      </c>
      <c r="C101" t="s">
        <v>4111</v>
      </c>
      <c r="D101" t="s">
        <v>4139</v>
      </c>
      <c r="E101" t="s">
        <v>4140</v>
      </c>
      <c r="F101" t="s">
        <v>3906</v>
      </c>
      <c r="G101" t="s">
        <v>4141</v>
      </c>
    </row>
    <row r="102" spans="1:7" ht="11.25" customHeight="1">
      <c r="A102" s="301" t="s">
        <v>14</v>
      </c>
      <c r="B102" t="s">
        <v>4110</v>
      </c>
      <c r="C102" t="s">
        <v>4111</v>
      </c>
      <c r="D102" t="s">
        <v>4142</v>
      </c>
      <c r="E102" t="s">
        <v>4143</v>
      </c>
      <c r="F102" t="s">
        <v>3906</v>
      </c>
      <c r="G102" t="s">
        <v>4144</v>
      </c>
    </row>
    <row r="103" spans="1:7" ht="11.25" customHeight="1">
      <c r="A103" s="301" t="s">
        <v>14</v>
      </c>
      <c r="B103" t="s">
        <v>4110</v>
      </c>
      <c r="C103" t="s">
        <v>4111</v>
      </c>
      <c r="D103" t="s">
        <v>4145</v>
      </c>
      <c r="E103" t="s">
        <v>4146</v>
      </c>
      <c r="F103" t="s">
        <v>3906</v>
      </c>
      <c r="G103" t="s">
        <v>4147</v>
      </c>
    </row>
    <row r="104" spans="1:7" ht="11.25" customHeight="1">
      <c r="A104" s="301" t="s">
        <v>14</v>
      </c>
      <c r="B104" t="s">
        <v>4110</v>
      </c>
      <c r="C104" t="s">
        <v>4111</v>
      </c>
      <c r="D104" t="s">
        <v>4148</v>
      </c>
      <c r="E104" t="s">
        <v>4149</v>
      </c>
      <c r="F104" t="s">
        <v>3984</v>
      </c>
      <c r="G104" t="s">
        <v>4150</v>
      </c>
    </row>
    <row r="105" spans="1:7" ht="11.25" customHeight="1">
      <c r="A105" s="301" t="s">
        <v>14</v>
      </c>
      <c r="B105" t="s">
        <v>4151</v>
      </c>
      <c r="C105" t="s">
        <v>4152</v>
      </c>
      <c r="D105" t="s">
        <v>3909</v>
      </c>
      <c r="E105" t="s">
        <v>4153</v>
      </c>
      <c r="F105" t="s">
        <v>3906</v>
      </c>
      <c r="G105" t="s">
        <v>4154</v>
      </c>
    </row>
    <row r="106" spans="1:7" ht="11.25" customHeight="1">
      <c r="A106" s="301" t="s">
        <v>14</v>
      </c>
      <c r="B106" t="s">
        <v>4151</v>
      </c>
      <c r="C106" t="s">
        <v>4152</v>
      </c>
      <c r="D106" t="s">
        <v>4155</v>
      </c>
      <c r="E106" t="s">
        <v>4156</v>
      </c>
      <c r="F106" t="s">
        <v>3906</v>
      </c>
      <c r="G106" t="s">
        <v>4157</v>
      </c>
    </row>
    <row r="107" spans="1:7" ht="11.25" customHeight="1">
      <c r="A107" s="301" t="s">
        <v>14</v>
      </c>
      <c r="B107" t="s">
        <v>4151</v>
      </c>
      <c r="C107" t="s">
        <v>4152</v>
      </c>
      <c r="D107" t="s">
        <v>4151</v>
      </c>
      <c r="E107" t="s">
        <v>4152</v>
      </c>
      <c r="F107" t="s">
        <v>3903</v>
      </c>
      <c r="G107" t="s">
        <v>4158</v>
      </c>
    </row>
    <row r="108" spans="1:7" ht="11.25" customHeight="1">
      <c r="A108" s="301" t="s">
        <v>14</v>
      </c>
      <c r="B108" t="s">
        <v>4151</v>
      </c>
      <c r="C108" t="s">
        <v>4152</v>
      </c>
      <c r="D108" t="s">
        <v>4159</v>
      </c>
      <c r="E108" t="s">
        <v>4160</v>
      </c>
      <c r="F108" t="s">
        <v>3906</v>
      </c>
      <c r="G108" t="s">
        <v>4161</v>
      </c>
    </row>
    <row r="109" spans="1:7" ht="11.25" customHeight="1">
      <c r="A109" s="301" t="s">
        <v>14</v>
      </c>
      <c r="B109" t="s">
        <v>4151</v>
      </c>
      <c r="C109" t="s">
        <v>4152</v>
      </c>
      <c r="D109" t="s">
        <v>4162</v>
      </c>
      <c r="E109" t="s">
        <v>4163</v>
      </c>
      <c r="F109" t="s">
        <v>3906</v>
      </c>
      <c r="G109" t="s">
        <v>4164</v>
      </c>
    </row>
    <row r="110" spans="1:7" ht="11.25" customHeight="1">
      <c r="A110" s="301" t="s">
        <v>14</v>
      </c>
      <c r="B110" t="s">
        <v>4151</v>
      </c>
      <c r="C110" t="s">
        <v>4152</v>
      </c>
      <c r="D110" t="s">
        <v>4165</v>
      </c>
      <c r="E110" t="s">
        <v>4166</v>
      </c>
      <c r="F110" t="s">
        <v>3906</v>
      </c>
      <c r="G110" t="s">
        <v>4167</v>
      </c>
    </row>
    <row r="111" spans="1:7" ht="11.25" customHeight="1">
      <c r="A111" s="301" t="s">
        <v>14</v>
      </c>
      <c r="B111" t="s">
        <v>4151</v>
      </c>
      <c r="C111" t="s">
        <v>4152</v>
      </c>
      <c r="D111" t="s">
        <v>4168</v>
      </c>
      <c r="E111" t="s">
        <v>4169</v>
      </c>
      <c r="F111" t="s">
        <v>3906</v>
      </c>
      <c r="G111" t="s">
        <v>4170</v>
      </c>
    </row>
    <row r="112" spans="1:7" ht="11.25" customHeight="1">
      <c r="A112" s="301" t="s">
        <v>14</v>
      </c>
      <c r="B112" t="s">
        <v>4151</v>
      </c>
      <c r="C112" t="s">
        <v>4152</v>
      </c>
      <c r="D112" t="s">
        <v>4171</v>
      </c>
      <c r="E112" t="s">
        <v>4172</v>
      </c>
      <c r="F112" t="s">
        <v>3906</v>
      </c>
      <c r="G112" t="s">
        <v>4173</v>
      </c>
    </row>
    <row r="113" spans="1:7" ht="11.25" customHeight="1">
      <c r="A113" s="301" t="s">
        <v>14</v>
      </c>
      <c r="B113" t="s">
        <v>4151</v>
      </c>
      <c r="C113" t="s">
        <v>4152</v>
      </c>
      <c r="D113" t="s">
        <v>4174</v>
      </c>
      <c r="E113" t="s">
        <v>4175</v>
      </c>
      <c r="F113" t="s">
        <v>3906</v>
      </c>
      <c r="G113" t="s">
        <v>4176</v>
      </c>
    </row>
    <row r="114" spans="1:7" ht="11.25" customHeight="1">
      <c r="A114" s="301" t="s">
        <v>14</v>
      </c>
      <c r="B114" t="s">
        <v>4151</v>
      </c>
      <c r="C114" t="s">
        <v>4152</v>
      </c>
      <c r="D114" t="s">
        <v>4177</v>
      </c>
      <c r="E114" t="s">
        <v>4178</v>
      </c>
      <c r="F114" t="s">
        <v>3906</v>
      </c>
      <c r="G114" t="s">
        <v>4179</v>
      </c>
    </row>
    <row r="115" spans="1:7" ht="11.25" customHeight="1">
      <c r="A115" s="301" t="s">
        <v>14</v>
      </c>
      <c r="B115" t="s">
        <v>4180</v>
      </c>
      <c r="C115" t="s">
        <v>4181</v>
      </c>
      <c r="D115" t="s">
        <v>4180</v>
      </c>
      <c r="E115" t="s">
        <v>4181</v>
      </c>
      <c r="F115" t="s">
        <v>4182</v>
      </c>
      <c r="G115" t="s">
        <v>4183</v>
      </c>
    </row>
    <row r="116" spans="1:7" ht="11.25" customHeight="1">
      <c r="A116" s="301" t="s">
        <v>14</v>
      </c>
      <c r="B116" t="s">
        <v>4184</v>
      </c>
      <c r="C116" t="s">
        <v>4185</v>
      </c>
      <c r="D116" t="s">
        <v>4184</v>
      </c>
      <c r="E116" t="s">
        <v>4185</v>
      </c>
      <c r="F116" t="s">
        <v>4182</v>
      </c>
      <c r="G116" t="s">
        <v>4186</v>
      </c>
    </row>
    <row r="117" spans="1:7" ht="11.25" customHeight="1">
      <c r="A117" s="301" t="s">
        <v>14</v>
      </c>
      <c r="B117" t="s">
        <v>4187</v>
      </c>
      <c r="C117" t="s">
        <v>4188</v>
      </c>
      <c r="D117" t="s">
        <v>4187</v>
      </c>
      <c r="E117" t="s">
        <v>4188</v>
      </c>
      <c r="F117" t="s">
        <v>4182</v>
      </c>
      <c r="G117" t="s">
        <v>4189</v>
      </c>
    </row>
    <row r="118" spans="1:7" ht="11.25" customHeight="1">
      <c r="A118" s="301" t="s">
        <v>14</v>
      </c>
      <c r="B118" t="s">
        <v>4190</v>
      </c>
      <c r="C118" t="s">
        <v>4191</v>
      </c>
      <c r="D118" t="s">
        <v>4190</v>
      </c>
      <c r="E118" t="s">
        <v>4191</v>
      </c>
      <c r="F118" t="s">
        <v>4182</v>
      </c>
      <c r="G118" t="s">
        <v>4192</v>
      </c>
    </row>
    <row r="119" spans="1:7" ht="11.25" customHeight="1">
      <c r="A119" s="301" t="s">
        <v>14</v>
      </c>
      <c r="B119" t="s">
        <v>4193</v>
      </c>
      <c r="C119" t="s">
        <v>4194</v>
      </c>
      <c r="D119" t="s">
        <v>4193</v>
      </c>
      <c r="E119" t="s">
        <v>4194</v>
      </c>
      <c r="F119" t="s">
        <v>4182</v>
      </c>
      <c r="G119" t="s">
        <v>4195</v>
      </c>
    </row>
    <row r="120" spans="1:7" ht="11.25" customHeight="1">
      <c r="A120" s="301" t="s">
        <v>14</v>
      </c>
      <c r="B120" t="s">
        <v>4196</v>
      </c>
      <c r="C120" t="s">
        <v>4197</v>
      </c>
      <c r="D120" t="s">
        <v>4196</v>
      </c>
      <c r="E120" t="s">
        <v>4197</v>
      </c>
      <c r="F120" t="s">
        <v>4182</v>
      </c>
      <c r="G120" t="s">
        <v>4198</v>
      </c>
    </row>
    <row r="121" spans="1:7" ht="11.25" customHeight="1">
      <c r="A121" s="301" t="s">
        <v>14</v>
      </c>
      <c r="B121" t="s">
        <v>4199</v>
      </c>
      <c r="C121" t="s">
        <v>4200</v>
      </c>
      <c r="D121" t="s">
        <v>4199</v>
      </c>
      <c r="E121" t="s">
        <v>4200</v>
      </c>
      <c r="F121" t="s">
        <v>4182</v>
      </c>
      <c r="G121" t="s">
        <v>4201</v>
      </c>
    </row>
    <row r="122" spans="1:7" ht="11.25" customHeight="1">
      <c r="A122" s="301" t="s">
        <v>14</v>
      </c>
      <c r="B122" t="s">
        <v>4202</v>
      </c>
      <c r="C122" t="s">
        <v>4203</v>
      </c>
      <c r="D122" t="s">
        <v>4202</v>
      </c>
      <c r="E122" t="s">
        <v>4203</v>
      </c>
      <c r="F122" t="s">
        <v>4182</v>
      </c>
      <c r="G122" t="s">
        <v>4204</v>
      </c>
    </row>
    <row r="123" spans="1:7" ht="11.25" customHeight="1">
      <c r="A123" s="301" t="s">
        <v>14</v>
      </c>
      <c r="B123" t="s">
        <v>4205</v>
      </c>
      <c r="C123" t="s">
        <v>4206</v>
      </c>
      <c r="D123" t="s">
        <v>4205</v>
      </c>
      <c r="E123" t="s">
        <v>4206</v>
      </c>
      <c r="F123" t="s">
        <v>4182</v>
      </c>
      <c r="G123" t="s">
        <v>4207</v>
      </c>
    </row>
    <row r="124" spans="1:7" ht="11.25" customHeight="1">
      <c r="A124" s="301" t="s">
        <v>14</v>
      </c>
      <c r="B124" t="s">
        <v>4208</v>
      </c>
      <c r="C124" t="s">
        <v>4209</v>
      </c>
      <c r="D124" t="s">
        <v>4208</v>
      </c>
      <c r="E124" t="s">
        <v>4209</v>
      </c>
      <c r="F124" t="s">
        <v>4182</v>
      </c>
      <c r="G124" t="s">
        <v>4210</v>
      </c>
    </row>
    <row r="125" spans="1:7" ht="11.25" customHeight="1">
      <c r="A125" s="301" t="s">
        <v>14</v>
      </c>
      <c r="B125" t="s">
        <v>4211</v>
      </c>
      <c r="C125" t="s">
        <v>4212</v>
      </c>
      <c r="D125" t="s">
        <v>4211</v>
      </c>
      <c r="E125" t="s">
        <v>4212</v>
      </c>
      <c r="F125" t="s">
        <v>4182</v>
      </c>
      <c r="G125" t="s">
        <v>4213</v>
      </c>
    </row>
    <row r="126" spans="1:7" ht="11.25" customHeight="1">
      <c r="A126" s="301" t="s">
        <v>14</v>
      </c>
      <c r="B126" t="s">
        <v>4214</v>
      </c>
      <c r="C126" t="s">
        <v>4215</v>
      </c>
      <c r="D126" t="s">
        <v>4214</v>
      </c>
      <c r="E126" t="s">
        <v>4215</v>
      </c>
      <c r="F126" t="s">
        <v>4182</v>
      </c>
      <c r="G126" t="s">
        <v>4216</v>
      </c>
    </row>
    <row r="127" spans="1:7" ht="11.25" customHeight="1">
      <c r="A127" s="301" t="s">
        <v>14</v>
      </c>
      <c r="B127" t="s">
        <v>4217</v>
      </c>
      <c r="C127" t="s">
        <v>4218</v>
      </c>
      <c r="D127" t="s">
        <v>4217</v>
      </c>
      <c r="E127" t="s">
        <v>4218</v>
      </c>
      <c r="F127" t="s">
        <v>4182</v>
      </c>
      <c r="G127" t="s">
        <v>4219</v>
      </c>
    </row>
    <row r="128" spans="1:7" ht="11.25" customHeight="1">
      <c r="A128" s="301" t="s">
        <v>14</v>
      </c>
      <c r="B128" t="s">
        <v>4220</v>
      </c>
      <c r="C128" t="s">
        <v>4221</v>
      </c>
      <c r="D128" t="s">
        <v>4222</v>
      </c>
      <c r="E128" t="s">
        <v>4223</v>
      </c>
      <c r="F128" t="s">
        <v>3906</v>
      </c>
      <c r="G128" t="s">
        <v>4224</v>
      </c>
    </row>
    <row r="129" spans="1:7" ht="11.25" customHeight="1">
      <c r="A129" s="301" t="s">
        <v>14</v>
      </c>
      <c r="B129" t="s">
        <v>4220</v>
      </c>
      <c r="C129" t="s">
        <v>4221</v>
      </c>
      <c r="D129" t="s">
        <v>4225</v>
      </c>
      <c r="E129" t="s">
        <v>4226</v>
      </c>
      <c r="F129" t="s">
        <v>3906</v>
      </c>
      <c r="G129" t="s">
        <v>4227</v>
      </c>
    </row>
    <row r="130" spans="1:7" ht="11.25" customHeight="1">
      <c r="A130" s="301" t="s">
        <v>14</v>
      </c>
      <c r="B130" t="s">
        <v>4220</v>
      </c>
      <c r="C130" t="s">
        <v>4221</v>
      </c>
      <c r="D130" t="s">
        <v>4220</v>
      </c>
      <c r="E130" t="s">
        <v>4221</v>
      </c>
      <c r="F130" t="s">
        <v>3903</v>
      </c>
      <c r="G130" t="s">
        <v>4228</v>
      </c>
    </row>
    <row r="131" spans="1:7" ht="11.25" customHeight="1">
      <c r="A131" s="301" t="s">
        <v>14</v>
      </c>
      <c r="B131" t="s">
        <v>4220</v>
      </c>
      <c r="C131" t="s">
        <v>4221</v>
      </c>
      <c r="D131" t="s">
        <v>4229</v>
      </c>
      <c r="E131" t="s">
        <v>4230</v>
      </c>
      <c r="F131" t="s">
        <v>3906</v>
      </c>
      <c r="G131" t="s">
        <v>4231</v>
      </c>
    </row>
    <row r="132" spans="1:7" ht="11.25" customHeight="1">
      <c r="A132" s="301" t="s">
        <v>14</v>
      </c>
      <c r="B132" t="s">
        <v>4220</v>
      </c>
      <c r="C132" t="s">
        <v>4221</v>
      </c>
      <c r="D132" t="s">
        <v>4232</v>
      </c>
      <c r="E132" t="s">
        <v>4233</v>
      </c>
      <c r="F132" t="s">
        <v>3906</v>
      </c>
      <c r="G132" t="s">
        <v>4234</v>
      </c>
    </row>
    <row r="133" spans="1:7" ht="11.25" customHeight="1">
      <c r="A133" s="301" t="s">
        <v>14</v>
      </c>
      <c r="B133" t="s">
        <v>4220</v>
      </c>
      <c r="C133" t="s">
        <v>4221</v>
      </c>
      <c r="D133" t="s">
        <v>4235</v>
      </c>
      <c r="E133" t="s">
        <v>4236</v>
      </c>
      <c r="F133" t="s">
        <v>3906</v>
      </c>
      <c r="G133" t="s">
        <v>4237</v>
      </c>
    </row>
    <row r="134" spans="1:7" ht="11.25" customHeight="1">
      <c r="A134" s="301" t="s">
        <v>14</v>
      </c>
      <c r="B134" t="s">
        <v>4220</v>
      </c>
      <c r="C134" t="s">
        <v>4221</v>
      </c>
      <c r="D134" t="s">
        <v>4238</v>
      </c>
      <c r="E134" t="s">
        <v>4239</v>
      </c>
      <c r="F134" t="s">
        <v>3906</v>
      </c>
      <c r="G134" t="s">
        <v>4240</v>
      </c>
    </row>
    <row r="135" spans="1:7" ht="11.25" customHeight="1">
      <c r="A135" s="301" t="s">
        <v>14</v>
      </c>
      <c r="B135" t="s">
        <v>4220</v>
      </c>
      <c r="C135" t="s">
        <v>4221</v>
      </c>
      <c r="D135" t="s">
        <v>4013</v>
      </c>
      <c r="E135" t="s">
        <v>4241</v>
      </c>
      <c r="F135" t="s">
        <v>3906</v>
      </c>
      <c r="G135" t="s">
        <v>4242</v>
      </c>
    </row>
    <row r="136" spans="1:7" ht="11.25" customHeight="1">
      <c r="A136" s="301" t="s">
        <v>14</v>
      </c>
      <c r="B136" t="s">
        <v>4220</v>
      </c>
      <c r="C136" t="s">
        <v>4221</v>
      </c>
      <c r="D136" t="s">
        <v>4243</v>
      </c>
      <c r="E136" t="s">
        <v>4244</v>
      </c>
      <c r="F136" t="s">
        <v>3906</v>
      </c>
      <c r="G136" t="s">
        <v>4245</v>
      </c>
    </row>
    <row r="137" spans="1:7" ht="11.25" customHeight="1">
      <c r="A137" s="301" t="s">
        <v>14</v>
      </c>
      <c r="B137" t="s">
        <v>4246</v>
      </c>
      <c r="C137" t="s">
        <v>4247</v>
      </c>
      <c r="D137" t="s">
        <v>4248</v>
      </c>
      <c r="E137" t="s">
        <v>4249</v>
      </c>
      <c r="F137" t="s">
        <v>3906</v>
      </c>
      <c r="G137" t="s">
        <v>4250</v>
      </c>
    </row>
    <row r="138" spans="1:7" ht="11.25" customHeight="1">
      <c r="A138" s="301" t="s">
        <v>14</v>
      </c>
      <c r="B138" t="s">
        <v>4246</v>
      </c>
      <c r="C138" t="s">
        <v>4247</v>
      </c>
      <c r="D138" t="s">
        <v>3963</v>
      </c>
      <c r="E138" t="s">
        <v>4251</v>
      </c>
      <c r="F138" t="s">
        <v>3906</v>
      </c>
      <c r="G138" t="s">
        <v>4252</v>
      </c>
    </row>
    <row r="139" spans="1:7" ht="11.25" customHeight="1">
      <c r="A139" s="301" t="s">
        <v>14</v>
      </c>
      <c r="B139" t="s">
        <v>4246</v>
      </c>
      <c r="C139" t="s">
        <v>4247</v>
      </c>
      <c r="D139" t="s">
        <v>4246</v>
      </c>
      <c r="E139" t="s">
        <v>4247</v>
      </c>
      <c r="F139" t="s">
        <v>3903</v>
      </c>
      <c r="G139" t="s">
        <v>4253</v>
      </c>
    </row>
    <row r="140" spans="1:7" ht="11.25" customHeight="1">
      <c r="A140" s="301" t="s">
        <v>14</v>
      </c>
      <c r="B140" t="s">
        <v>4246</v>
      </c>
      <c r="C140" t="s">
        <v>4247</v>
      </c>
      <c r="D140" t="s">
        <v>4254</v>
      </c>
      <c r="E140" t="s">
        <v>4255</v>
      </c>
      <c r="F140" t="s">
        <v>3906</v>
      </c>
      <c r="G140" t="s">
        <v>4256</v>
      </c>
    </row>
    <row r="141" spans="1:7" ht="11.25" customHeight="1">
      <c r="A141" s="301" t="s">
        <v>14</v>
      </c>
      <c r="B141" t="s">
        <v>4246</v>
      </c>
      <c r="C141" t="s">
        <v>4247</v>
      </c>
      <c r="D141" t="s">
        <v>4257</v>
      </c>
      <c r="E141" t="s">
        <v>4258</v>
      </c>
      <c r="F141" t="s">
        <v>3906</v>
      </c>
      <c r="G141" t="s">
        <v>4259</v>
      </c>
    </row>
    <row r="142" spans="1:7" ht="11.25" customHeight="1">
      <c r="A142" s="301" t="s">
        <v>14</v>
      </c>
      <c r="B142" t="s">
        <v>4246</v>
      </c>
      <c r="C142" t="s">
        <v>4247</v>
      </c>
      <c r="D142" t="s">
        <v>4260</v>
      </c>
      <c r="E142" t="s">
        <v>4261</v>
      </c>
      <c r="F142" t="s">
        <v>3906</v>
      </c>
      <c r="G142" t="s">
        <v>4262</v>
      </c>
    </row>
    <row r="143" spans="1:7" ht="11.25" customHeight="1">
      <c r="A143" s="301" t="s">
        <v>14</v>
      </c>
      <c r="B143" t="s">
        <v>4246</v>
      </c>
      <c r="C143" t="s">
        <v>4247</v>
      </c>
      <c r="D143" t="s">
        <v>3917</v>
      </c>
      <c r="E143" t="s">
        <v>4263</v>
      </c>
      <c r="F143" t="s">
        <v>3906</v>
      </c>
      <c r="G143" t="s">
        <v>4264</v>
      </c>
    </row>
    <row r="144" spans="1:7" ht="11.25" customHeight="1">
      <c r="A144" s="301" t="s">
        <v>14</v>
      </c>
      <c r="B144" t="s">
        <v>4246</v>
      </c>
      <c r="C144" t="s">
        <v>4247</v>
      </c>
      <c r="D144" t="s">
        <v>4265</v>
      </c>
      <c r="E144" t="s">
        <v>4266</v>
      </c>
      <c r="F144" t="s">
        <v>3984</v>
      </c>
      <c r="G144" t="s">
        <v>4267</v>
      </c>
    </row>
    <row r="145" spans="1:7" ht="11.25" customHeight="1">
      <c r="A145" s="301" t="s">
        <v>14</v>
      </c>
      <c r="B145" t="s">
        <v>4246</v>
      </c>
      <c r="C145" t="s">
        <v>4247</v>
      </c>
      <c r="D145" t="s">
        <v>4268</v>
      </c>
      <c r="E145" t="s">
        <v>4269</v>
      </c>
      <c r="F145" t="s">
        <v>3906</v>
      </c>
      <c r="G145" t="s">
        <v>4270</v>
      </c>
    </row>
    <row r="146" spans="1:7" ht="11.25" customHeight="1">
      <c r="A146" s="301" t="s">
        <v>14</v>
      </c>
      <c r="B146" t="s">
        <v>4246</v>
      </c>
      <c r="C146" t="s">
        <v>4247</v>
      </c>
      <c r="D146" t="s">
        <v>4271</v>
      </c>
      <c r="E146" t="s">
        <v>4272</v>
      </c>
      <c r="F146" t="s">
        <v>3906</v>
      </c>
      <c r="G146" t="s">
        <v>4273</v>
      </c>
    </row>
    <row r="147" spans="1:7" ht="11.25" customHeight="1">
      <c r="A147" s="301" t="s">
        <v>14</v>
      </c>
      <c r="B147" t="s">
        <v>4246</v>
      </c>
      <c r="C147" t="s">
        <v>4247</v>
      </c>
      <c r="D147" t="s">
        <v>4274</v>
      </c>
      <c r="E147" t="s">
        <v>4275</v>
      </c>
      <c r="F147" t="s">
        <v>3906</v>
      </c>
      <c r="G147" t="s">
        <v>4276</v>
      </c>
    </row>
    <row r="148" spans="1:7" ht="11.25" customHeight="1">
      <c r="A148" s="301" t="s">
        <v>14</v>
      </c>
      <c r="B148" t="s">
        <v>4246</v>
      </c>
      <c r="C148" t="s">
        <v>4247</v>
      </c>
      <c r="D148" t="s">
        <v>4277</v>
      </c>
      <c r="E148" t="s">
        <v>4278</v>
      </c>
      <c r="F148" t="s">
        <v>3906</v>
      </c>
      <c r="G148" t="s">
        <v>4279</v>
      </c>
    </row>
    <row r="149" spans="1:7" ht="11.25" customHeight="1">
      <c r="A149" s="301" t="s">
        <v>14</v>
      </c>
      <c r="B149" t="s">
        <v>4246</v>
      </c>
      <c r="C149" t="s">
        <v>4247</v>
      </c>
      <c r="D149" t="s">
        <v>4280</v>
      </c>
      <c r="E149" t="s">
        <v>4281</v>
      </c>
      <c r="F149" t="s">
        <v>3906</v>
      </c>
      <c r="G149" t="s">
        <v>4282</v>
      </c>
    </row>
    <row r="150" spans="1:7" ht="11.25" customHeight="1">
      <c r="A150" s="301" t="s">
        <v>14</v>
      </c>
      <c r="B150" t="s">
        <v>4246</v>
      </c>
      <c r="C150" t="s">
        <v>4247</v>
      </c>
      <c r="D150" t="s">
        <v>4283</v>
      </c>
      <c r="E150" t="s">
        <v>4284</v>
      </c>
      <c r="F150" t="s">
        <v>3906</v>
      </c>
      <c r="G150" t="s">
        <v>4285</v>
      </c>
    </row>
    <row r="151" spans="1:7" ht="11.25" customHeight="1">
      <c r="A151" s="301" t="s">
        <v>14</v>
      </c>
      <c r="B151" t="s">
        <v>4246</v>
      </c>
      <c r="C151" t="s">
        <v>4247</v>
      </c>
      <c r="D151" t="s">
        <v>4286</v>
      </c>
      <c r="E151" t="s">
        <v>4287</v>
      </c>
      <c r="F151" t="s">
        <v>3984</v>
      </c>
      <c r="G151" t="s">
        <v>4288</v>
      </c>
    </row>
    <row r="152" spans="1:7" ht="11.25" customHeight="1">
      <c r="A152" s="301" t="s">
        <v>14</v>
      </c>
      <c r="B152" t="s">
        <v>4246</v>
      </c>
      <c r="C152" t="s">
        <v>4247</v>
      </c>
      <c r="D152" t="s">
        <v>4289</v>
      </c>
      <c r="E152" t="s">
        <v>4290</v>
      </c>
      <c r="F152" t="s">
        <v>3906</v>
      </c>
      <c r="G152" t="s">
        <v>4291</v>
      </c>
    </row>
    <row r="153" spans="1:7" ht="11.25" customHeight="1">
      <c r="A153" s="301" t="s">
        <v>14</v>
      </c>
      <c r="B153" t="s">
        <v>4292</v>
      </c>
      <c r="C153" t="s">
        <v>4293</v>
      </c>
      <c r="D153" t="s">
        <v>4294</v>
      </c>
      <c r="E153" t="s">
        <v>4295</v>
      </c>
      <c r="F153" t="s">
        <v>3906</v>
      </c>
      <c r="G153" t="s">
        <v>4296</v>
      </c>
    </row>
    <row r="154" spans="1:7" ht="11.25" customHeight="1">
      <c r="A154" s="301" t="s">
        <v>14</v>
      </c>
      <c r="B154" t="s">
        <v>4292</v>
      </c>
      <c r="C154" t="s">
        <v>4293</v>
      </c>
      <c r="D154" t="s">
        <v>4297</v>
      </c>
      <c r="E154" t="s">
        <v>4298</v>
      </c>
      <c r="F154" t="s">
        <v>3906</v>
      </c>
      <c r="G154" t="s">
        <v>4299</v>
      </c>
    </row>
    <row r="155" spans="1:7" ht="11.25" customHeight="1">
      <c r="A155" s="301" t="s">
        <v>14</v>
      </c>
      <c r="B155" t="s">
        <v>4292</v>
      </c>
      <c r="C155" t="s">
        <v>4293</v>
      </c>
      <c r="D155" t="s">
        <v>4300</v>
      </c>
      <c r="E155" t="s">
        <v>4301</v>
      </c>
      <c r="F155" t="s">
        <v>3906</v>
      </c>
      <c r="G155" t="s">
        <v>4302</v>
      </c>
    </row>
    <row r="156" spans="1:7" ht="11.25" customHeight="1">
      <c r="A156" s="301" t="s">
        <v>14</v>
      </c>
      <c r="B156" t="s">
        <v>4292</v>
      </c>
      <c r="C156" t="s">
        <v>4293</v>
      </c>
      <c r="D156" t="s">
        <v>4303</v>
      </c>
      <c r="E156" t="s">
        <v>4304</v>
      </c>
      <c r="F156" t="s">
        <v>3906</v>
      </c>
      <c r="G156" t="s">
        <v>4305</v>
      </c>
    </row>
    <row r="157" spans="1:7" ht="11.25" customHeight="1">
      <c r="A157" s="301" t="s">
        <v>14</v>
      </c>
      <c r="B157" t="s">
        <v>4292</v>
      </c>
      <c r="C157" t="s">
        <v>4293</v>
      </c>
      <c r="D157" t="s">
        <v>4292</v>
      </c>
      <c r="E157" t="s">
        <v>4293</v>
      </c>
      <c r="F157" t="s">
        <v>3903</v>
      </c>
      <c r="G157" t="s">
        <v>4306</v>
      </c>
    </row>
    <row r="158" spans="1:7" ht="11.25" customHeight="1">
      <c r="A158" s="301" t="s">
        <v>14</v>
      </c>
      <c r="B158" t="s">
        <v>4292</v>
      </c>
      <c r="C158" t="s">
        <v>4293</v>
      </c>
      <c r="D158" t="s">
        <v>4307</v>
      </c>
      <c r="E158" t="s">
        <v>4308</v>
      </c>
      <c r="F158" t="s">
        <v>3906</v>
      </c>
      <c r="G158" t="s">
        <v>4309</v>
      </c>
    </row>
    <row r="159" spans="1:7" ht="11.25" customHeight="1">
      <c r="A159" s="301" t="s">
        <v>14</v>
      </c>
      <c r="B159" t="s">
        <v>4292</v>
      </c>
      <c r="C159" t="s">
        <v>4293</v>
      </c>
      <c r="D159" t="s">
        <v>4310</v>
      </c>
      <c r="E159" t="s">
        <v>4311</v>
      </c>
      <c r="F159" t="s">
        <v>3906</v>
      </c>
      <c r="G159" t="s">
        <v>4312</v>
      </c>
    </row>
    <row r="160" spans="1:7" ht="11.25" customHeight="1">
      <c r="A160" s="301" t="s">
        <v>14</v>
      </c>
      <c r="B160" t="s">
        <v>4292</v>
      </c>
      <c r="C160" t="s">
        <v>4293</v>
      </c>
      <c r="D160" t="s">
        <v>4313</v>
      </c>
      <c r="E160" t="s">
        <v>4314</v>
      </c>
      <c r="F160" t="s">
        <v>3906</v>
      </c>
      <c r="G160" t="s">
        <v>4315</v>
      </c>
    </row>
    <row r="161" spans="1:7" ht="11.25" customHeight="1">
      <c r="A161" s="301" t="s">
        <v>14</v>
      </c>
      <c r="B161" t="s">
        <v>4292</v>
      </c>
      <c r="C161" t="s">
        <v>4293</v>
      </c>
      <c r="D161" t="s">
        <v>4316</v>
      </c>
      <c r="E161" t="s">
        <v>4317</v>
      </c>
      <c r="F161" t="s">
        <v>3906</v>
      </c>
      <c r="G161" t="s">
        <v>4318</v>
      </c>
    </row>
    <row r="162" spans="1:7" ht="11.25" customHeight="1">
      <c r="A162" s="301" t="s">
        <v>14</v>
      </c>
      <c r="B162" t="s">
        <v>4292</v>
      </c>
      <c r="C162" t="s">
        <v>4293</v>
      </c>
      <c r="D162" t="s">
        <v>4319</v>
      </c>
      <c r="E162" t="s">
        <v>4320</v>
      </c>
      <c r="F162" t="s">
        <v>3906</v>
      </c>
      <c r="G162" t="s">
        <v>4321</v>
      </c>
    </row>
    <row r="163" spans="1:7" ht="11.25" customHeight="1">
      <c r="A163" s="301" t="s">
        <v>14</v>
      </c>
      <c r="B163" t="s">
        <v>4292</v>
      </c>
      <c r="C163" t="s">
        <v>4293</v>
      </c>
      <c r="D163" t="s">
        <v>4322</v>
      </c>
      <c r="E163" t="s">
        <v>4323</v>
      </c>
      <c r="F163" t="s">
        <v>3906</v>
      </c>
      <c r="G163" t="s">
        <v>4324</v>
      </c>
    </row>
    <row r="164" spans="1:7" ht="11.25" customHeight="1">
      <c r="A164" s="301" t="s">
        <v>14</v>
      </c>
      <c r="B164" t="s">
        <v>4292</v>
      </c>
      <c r="C164" t="s">
        <v>4293</v>
      </c>
      <c r="D164" t="s">
        <v>4325</v>
      </c>
      <c r="E164" t="s">
        <v>4326</v>
      </c>
      <c r="F164" t="s">
        <v>3906</v>
      </c>
      <c r="G164" t="s">
        <v>4327</v>
      </c>
    </row>
    <row r="165" spans="1:7" ht="11.25" customHeight="1">
      <c r="A165" s="301" t="s">
        <v>14</v>
      </c>
      <c r="B165" t="s">
        <v>4292</v>
      </c>
      <c r="C165" t="s">
        <v>4293</v>
      </c>
      <c r="D165" t="s">
        <v>4328</v>
      </c>
      <c r="E165" t="s">
        <v>4329</v>
      </c>
      <c r="F165" t="s">
        <v>4075</v>
      </c>
      <c r="G165" t="s">
        <v>4330</v>
      </c>
    </row>
    <row r="166" spans="1:7" ht="11.25" customHeight="1">
      <c r="A166" s="301" t="s">
        <v>14</v>
      </c>
      <c r="B166" t="s">
        <v>4292</v>
      </c>
      <c r="C166" t="s">
        <v>4293</v>
      </c>
      <c r="D166" t="s">
        <v>4331</v>
      </c>
      <c r="E166" t="s">
        <v>4332</v>
      </c>
      <c r="F166" t="s">
        <v>3906</v>
      </c>
      <c r="G166" t="s">
        <v>4333</v>
      </c>
    </row>
    <row r="167" spans="1:7" ht="11.25" customHeight="1">
      <c r="A167" s="301" t="s">
        <v>14</v>
      </c>
      <c r="B167" t="s">
        <v>4292</v>
      </c>
      <c r="C167" t="s">
        <v>4293</v>
      </c>
      <c r="D167" t="s">
        <v>4334</v>
      </c>
      <c r="E167" t="s">
        <v>4335</v>
      </c>
      <c r="F167" t="s">
        <v>3906</v>
      </c>
      <c r="G167" t="s">
        <v>4336</v>
      </c>
    </row>
    <row r="168" spans="1:7" ht="11.25" customHeight="1">
      <c r="A168" s="301" t="s">
        <v>14</v>
      </c>
      <c r="B168" t="s">
        <v>4292</v>
      </c>
      <c r="C168" t="s">
        <v>4293</v>
      </c>
      <c r="D168" t="s">
        <v>4337</v>
      </c>
      <c r="E168" t="s">
        <v>4338</v>
      </c>
      <c r="F168" t="s">
        <v>3906</v>
      </c>
      <c r="G168" t="s">
        <v>4339</v>
      </c>
    </row>
    <row r="169" spans="1:7" ht="11.25" customHeight="1">
      <c r="A169" s="301" t="s">
        <v>14</v>
      </c>
      <c r="B169" t="s">
        <v>4292</v>
      </c>
      <c r="C169" t="s">
        <v>4293</v>
      </c>
      <c r="D169" t="s">
        <v>4340</v>
      </c>
      <c r="E169" t="s">
        <v>4341</v>
      </c>
      <c r="F169" t="s">
        <v>3906</v>
      </c>
      <c r="G169" t="s">
        <v>4342</v>
      </c>
    </row>
    <row r="170" spans="1:7" ht="11.25" customHeight="1">
      <c r="A170" s="301" t="s">
        <v>14</v>
      </c>
      <c r="B170" t="s">
        <v>4292</v>
      </c>
      <c r="C170" t="s">
        <v>4293</v>
      </c>
      <c r="D170" t="s">
        <v>4343</v>
      </c>
      <c r="E170" t="s">
        <v>4344</v>
      </c>
      <c r="F170" t="s">
        <v>3906</v>
      </c>
      <c r="G170" t="s">
        <v>4345</v>
      </c>
    </row>
    <row r="171" spans="1:7" ht="11.25" customHeight="1">
      <c r="A171" s="301" t="s">
        <v>14</v>
      </c>
      <c r="B171" t="s">
        <v>4292</v>
      </c>
      <c r="C171" t="s">
        <v>4293</v>
      </c>
      <c r="D171" t="s">
        <v>4346</v>
      </c>
      <c r="E171" t="s">
        <v>4347</v>
      </c>
      <c r="F171" t="s">
        <v>3906</v>
      </c>
      <c r="G171" t="s">
        <v>4348</v>
      </c>
    </row>
    <row r="172" spans="1:7" ht="11.25" customHeight="1">
      <c r="A172" s="301" t="s">
        <v>14</v>
      </c>
      <c r="B172" t="s">
        <v>4292</v>
      </c>
      <c r="C172" t="s">
        <v>4293</v>
      </c>
      <c r="D172" t="s">
        <v>4349</v>
      </c>
      <c r="E172" t="s">
        <v>4350</v>
      </c>
      <c r="F172" t="s">
        <v>3906</v>
      </c>
      <c r="G172" t="s">
        <v>4351</v>
      </c>
    </row>
    <row r="173" spans="1:7" ht="11.25" customHeight="1">
      <c r="A173" s="301" t="s">
        <v>14</v>
      </c>
      <c r="B173" t="s">
        <v>4292</v>
      </c>
      <c r="C173" t="s">
        <v>4293</v>
      </c>
      <c r="D173" t="s">
        <v>4352</v>
      </c>
      <c r="E173" t="s">
        <v>4353</v>
      </c>
      <c r="F173" t="s">
        <v>3984</v>
      </c>
      <c r="G173" t="s">
        <v>4354</v>
      </c>
    </row>
    <row r="174" spans="1:7" ht="11.25" customHeight="1">
      <c r="A174" s="301" t="s">
        <v>14</v>
      </c>
      <c r="B174" t="s">
        <v>4292</v>
      </c>
      <c r="C174" t="s">
        <v>4293</v>
      </c>
      <c r="D174" t="s">
        <v>4355</v>
      </c>
      <c r="E174" t="s">
        <v>4356</v>
      </c>
      <c r="F174" t="s">
        <v>3906</v>
      </c>
      <c r="G174" t="s">
        <v>4357</v>
      </c>
    </row>
    <row r="175" spans="1:7" ht="11.25" customHeight="1">
      <c r="A175" s="301" t="s">
        <v>14</v>
      </c>
      <c r="B175" t="s">
        <v>4292</v>
      </c>
      <c r="C175" t="s">
        <v>4293</v>
      </c>
      <c r="D175" t="s">
        <v>4358</v>
      </c>
      <c r="E175" t="s">
        <v>4359</v>
      </c>
      <c r="F175" t="s">
        <v>3906</v>
      </c>
      <c r="G175" t="s">
        <v>4360</v>
      </c>
    </row>
    <row r="176" spans="1:7" ht="11.25" customHeight="1">
      <c r="A176" s="301" t="s">
        <v>14</v>
      </c>
      <c r="B176" t="s">
        <v>4292</v>
      </c>
      <c r="C176" t="s">
        <v>4293</v>
      </c>
      <c r="D176" t="s">
        <v>4361</v>
      </c>
      <c r="E176" t="s">
        <v>4362</v>
      </c>
      <c r="F176" t="s">
        <v>3906</v>
      </c>
      <c r="G176" t="s">
        <v>4363</v>
      </c>
    </row>
    <row r="177" spans="1:7" ht="11.25" customHeight="1">
      <c r="A177" s="301" t="s">
        <v>14</v>
      </c>
      <c r="B177" t="s">
        <v>4292</v>
      </c>
      <c r="C177" t="s">
        <v>4293</v>
      </c>
      <c r="D177" t="s">
        <v>4364</v>
      </c>
      <c r="E177" t="s">
        <v>4365</v>
      </c>
      <c r="F177" t="s">
        <v>3906</v>
      </c>
      <c r="G177" t="s">
        <v>4366</v>
      </c>
    </row>
    <row r="178" spans="1:7" ht="11.25" customHeight="1">
      <c r="A178" s="301" t="s">
        <v>14</v>
      </c>
      <c r="B178" t="s">
        <v>4292</v>
      </c>
      <c r="C178" t="s">
        <v>4293</v>
      </c>
      <c r="D178" t="s">
        <v>4367</v>
      </c>
      <c r="E178" t="s">
        <v>4368</v>
      </c>
      <c r="F178" t="s">
        <v>3906</v>
      </c>
      <c r="G178" t="s">
        <v>4369</v>
      </c>
    </row>
    <row r="179" spans="1:7" ht="11.25" customHeight="1">
      <c r="A179" s="301" t="s">
        <v>14</v>
      </c>
      <c r="B179" t="s">
        <v>4292</v>
      </c>
      <c r="C179" t="s">
        <v>4293</v>
      </c>
      <c r="D179" t="s">
        <v>4370</v>
      </c>
      <c r="E179" t="s">
        <v>4371</v>
      </c>
      <c r="F179" t="s">
        <v>3906</v>
      </c>
      <c r="G179" t="s">
        <v>4372</v>
      </c>
    </row>
    <row r="180" spans="1:7" ht="11.25" customHeight="1">
      <c r="A180" s="301" t="s">
        <v>14</v>
      </c>
      <c r="B180" t="s">
        <v>4292</v>
      </c>
      <c r="C180" t="s">
        <v>4293</v>
      </c>
      <c r="D180" t="s">
        <v>4373</v>
      </c>
      <c r="E180" t="s">
        <v>4374</v>
      </c>
      <c r="F180" t="s">
        <v>3906</v>
      </c>
      <c r="G180" t="s">
        <v>4375</v>
      </c>
    </row>
    <row r="181" spans="1:7" ht="11.25" customHeight="1">
      <c r="A181" s="301" t="s">
        <v>14</v>
      </c>
      <c r="B181" t="s">
        <v>4376</v>
      </c>
      <c r="C181" t="s">
        <v>4377</v>
      </c>
      <c r="D181" t="s">
        <v>4378</v>
      </c>
      <c r="E181" t="s">
        <v>4379</v>
      </c>
      <c r="F181" t="s">
        <v>3906</v>
      </c>
      <c r="G181" t="s">
        <v>4380</v>
      </c>
    </row>
    <row r="182" spans="1:7" ht="11.25" customHeight="1">
      <c r="A182" s="301" t="s">
        <v>14</v>
      </c>
      <c r="B182" t="s">
        <v>4376</v>
      </c>
      <c r="C182" t="s">
        <v>4377</v>
      </c>
      <c r="D182" t="s">
        <v>4381</v>
      </c>
      <c r="E182" t="s">
        <v>4382</v>
      </c>
      <c r="F182" t="s">
        <v>3906</v>
      </c>
      <c r="G182" t="s">
        <v>4383</v>
      </c>
    </row>
    <row r="183" spans="1:7" ht="11.25" customHeight="1">
      <c r="A183" s="301" t="s">
        <v>14</v>
      </c>
      <c r="B183" t="s">
        <v>4376</v>
      </c>
      <c r="C183" t="s">
        <v>4377</v>
      </c>
      <c r="D183" t="s">
        <v>4384</v>
      </c>
      <c r="E183" t="s">
        <v>4385</v>
      </c>
      <c r="F183" t="s">
        <v>3906</v>
      </c>
      <c r="G183" t="s">
        <v>4386</v>
      </c>
    </row>
    <row r="184" spans="1:7" ht="11.25" customHeight="1">
      <c r="A184" s="301" t="s">
        <v>14</v>
      </c>
      <c r="B184" t="s">
        <v>4376</v>
      </c>
      <c r="C184" t="s">
        <v>4377</v>
      </c>
      <c r="D184" t="s">
        <v>4376</v>
      </c>
      <c r="E184" t="s">
        <v>4377</v>
      </c>
      <c r="F184" t="s">
        <v>3903</v>
      </c>
      <c r="G184" t="s">
        <v>4387</v>
      </c>
    </row>
    <row r="185" spans="1:7" ht="11.25" customHeight="1">
      <c r="A185" s="301" t="s">
        <v>14</v>
      </c>
      <c r="B185" t="s">
        <v>4376</v>
      </c>
      <c r="C185" t="s">
        <v>4377</v>
      </c>
      <c r="D185" t="s">
        <v>4388</v>
      </c>
      <c r="E185" t="s">
        <v>4389</v>
      </c>
      <c r="F185" t="s">
        <v>3906</v>
      </c>
      <c r="G185" t="s">
        <v>4390</v>
      </c>
    </row>
    <row r="186" spans="1:7" ht="11.25" customHeight="1">
      <c r="A186" s="301" t="s">
        <v>14</v>
      </c>
      <c r="B186" t="s">
        <v>4376</v>
      </c>
      <c r="C186" t="s">
        <v>4377</v>
      </c>
      <c r="D186" t="s">
        <v>4391</v>
      </c>
      <c r="E186" t="s">
        <v>4392</v>
      </c>
      <c r="F186" t="s">
        <v>3906</v>
      </c>
      <c r="G186" t="s">
        <v>4393</v>
      </c>
    </row>
    <row r="187" spans="1:7" ht="11.25" customHeight="1">
      <c r="A187" s="301" t="s">
        <v>14</v>
      </c>
      <c r="B187" t="s">
        <v>4376</v>
      </c>
      <c r="C187" t="s">
        <v>4377</v>
      </c>
      <c r="D187" t="s">
        <v>4394</v>
      </c>
      <c r="E187" t="s">
        <v>4395</v>
      </c>
      <c r="F187" t="s">
        <v>3906</v>
      </c>
      <c r="G187" t="s">
        <v>4396</v>
      </c>
    </row>
    <row r="188" spans="1:7" ht="11.25" customHeight="1">
      <c r="A188" s="301" t="s">
        <v>14</v>
      </c>
      <c r="B188" t="s">
        <v>4376</v>
      </c>
      <c r="C188" t="s">
        <v>4377</v>
      </c>
      <c r="D188" t="s">
        <v>4397</v>
      </c>
      <c r="E188" t="s">
        <v>4398</v>
      </c>
      <c r="F188" t="s">
        <v>3906</v>
      </c>
      <c r="G188" t="s">
        <v>4399</v>
      </c>
    </row>
    <row r="189" spans="1:7" ht="11.25" customHeight="1">
      <c r="A189" s="301" t="s">
        <v>14</v>
      </c>
      <c r="B189" t="s">
        <v>4376</v>
      </c>
      <c r="C189" t="s">
        <v>4377</v>
      </c>
      <c r="D189" t="s">
        <v>4400</v>
      </c>
      <c r="E189" t="s">
        <v>4401</v>
      </c>
      <c r="F189" t="s">
        <v>3906</v>
      </c>
      <c r="G189" t="s">
        <v>4402</v>
      </c>
    </row>
    <row r="190" spans="1:7" ht="11.25" customHeight="1">
      <c r="A190" s="301" t="s">
        <v>14</v>
      </c>
      <c r="B190" t="s">
        <v>4376</v>
      </c>
      <c r="C190" t="s">
        <v>4377</v>
      </c>
      <c r="D190" t="s">
        <v>4403</v>
      </c>
      <c r="E190" t="s">
        <v>4404</v>
      </c>
      <c r="F190" t="s">
        <v>3906</v>
      </c>
      <c r="G190" t="s">
        <v>4405</v>
      </c>
    </row>
    <row r="191" spans="1:7" ht="11.25" customHeight="1">
      <c r="A191" s="301" t="s">
        <v>14</v>
      </c>
      <c r="B191" t="s">
        <v>4376</v>
      </c>
      <c r="C191" t="s">
        <v>4377</v>
      </c>
      <c r="D191" t="s">
        <v>4406</v>
      </c>
      <c r="E191" t="s">
        <v>4407</v>
      </c>
      <c r="F191" t="s">
        <v>3906</v>
      </c>
      <c r="G191" t="s">
        <v>4408</v>
      </c>
    </row>
    <row r="192" spans="1:7" ht="11.25" customHeight="1">
      <c r="A192" s="301" t="s">
        <v>14</v>
      </c>
      <c r="B192" t="s">
        <v>4376</v>
      </c>
      <c r="C192" t="s">
        <v>4377</v>
      </c>
      <c r="D192" t="s">
        <v>4409</v>
      </c>
      <c r="E192" t="s">
        <v>4410</v>
      </c>
      <c r="F192" t="s">
        <v>3906</v>
      </c>
      <c r="G192" t="s">
        <v>4411</v>
      </c>
    </row>
    <row r="193" spans="1:7" ht="11.25" customHeight="1">
      <c r="A193" s="301" t="s">
        <v>14</v>
      </c>
      <c r="B193" t="s">
        <v>4376</v>
      </c>
      <c r="C193" t="s">
        <v>4377</v>
      </c>
      <c r="D193" t="s">
        <v>4412</v>
      </c>
      <c r="E193" t="s">
        <v>4413</v>
      </c>
      <c r="F193" t="s">
        <v>3906</v>
      </c>
      <c r="G193" t="s">
        <v>4414</v>
      </c>
    </row>
    <row r="194" spans="1:7" ht="11.25" customHeight="1">
      <c r="A194" s="301" t="s">
        <v>14</v>
      </c>
      <c r="B194" t="s">
        <v>4376</v>
      </c>
      <c r="C194" t="s">
        <v>4377</v>
      </c>
      <c r="D194" t="s">
        <v>4415</v>
      </c>
      <c r="E194" t="s">
        <v>4416</v>
      </c>
      <c r="F194" t="s">
        <v>3906</v>
      </c>
      <c r="G194" t="s">
        <v>4417</v>
      </c>
    </row>
    <row r="195" spans="1:7" ht="11.25" customHeight="1">
      <c r="A195" s="301" t="s">
        <v>14</v>
      </c>
      <c r="B195" t="s">
        <v>4376</v>
      </c>
      <c r="C195" t="s">
        <v>4377</v>
      </c>
      <c r="D195" t="s">
        <v>4418</v>
      </c>
      <c r="E195" t="s">
        <v>4419</v>
      </c>
      <c r="F195" t="s">
        <v>3906</v>
      </c>
      <c r="G195" t="s">
        <v>4420</v>
      </c>
    </row>
    <row r="196" spans="1:7" ht="11.25" customHeight="1">
      <c r="A196" s="301" t="s">
        <v>14</v>
      </c>
      <c r="B196" t="s">
        <v>4421</v>
      </c>
      <c r="C196" t="s">
        <v>4422</v>
      </c>
      <c r="D196" t="s">
        <v>4421</v>
      </c>
      <c r="E196" t="s">
        <v>4422</v>
      </c>
      <c r="F196" t="s">
        <v>4182</v>
      </c>
      <c r="G196" t="s">
        <v>4423</v>
      </c>
    </row>
    <row r="197" spans="1:7" ht="11.25" customHeight="1">
      <c r="A197" s="301" t="s">
        <v>14</v>
      </c>
      <c r="B197" t="s">
        <v>4424</v>
      </c>
      <c r="C197" t="s">
        <v>4425</v>
      </c>
      <c r="D197" t="s">
        <v>4424</v>
      </c>
      <c r="E197" t="s">
        <v>4425</v>
      </c>
      <c r="F197" t="s">
        <v>4182</v>
      </c>
      <c r="G197" t="s">
        <v>4426</v>
      </c>
    </row>
    <row r="198" spans="1:7" ht="11.25" customHeight="1">
      <c r="A198" s="301" t="s">
        <v>14</v>
      </c>
      <c r="B198" t="s">
        <v>4427</v>
      </c>
      <c r="C198" t="s">
        <v>4428</v>
      </c>
      <c r="D198" t="s">
        <v>4427</v>
      </c>
      <c r="E198" t="s">
        <v>4428</v>
      </c>
      <c r="F198" t="s">
        <v>4182</v>
      </c>
      <c r="G198" t="s">
        <v>4429</v>
      </c>
    </row>
    <row r="199" spans="1:7" ht="11.25" customHeight="1">
      <c r="A199" s="301" t="s">
        <v>14</v>
      </c>
      <c r="B199" t="s">
        <v>4430</v>
      </c>
      <c r="C199" t="s">
        <v>4431</v>
      </c>
      <c r="D199" t="s">
        <v>4432</v>
      </c>
      <c r="E199" t="s">
        <v>4433</v>
      </c>
      <c r="F199" t="s">
        <v>3906</v>
      </c>
      <c r="G199" t="s">
        <v>4434</v>
      </c>
    </row>
    <row r="200" spans="1:7" ht="11.25" customHeight="1">
      <c r="A200" s="301" t="s">
        <v>14</v>
      </c>
      <c r="B200" t="s">
        <v>4430</v>
      </c>
      <c r="C200" t="s">
        <v>4431</v>
      </c>
      <c r="D200" t="s">
        <v>4435</v>
      </c>
      <c r="E200" t="s">
        <v>4436</v>
      </c>
      <c r="F200" t="s">
        <v>3906</v>
      </c>
      <c r="G200" t="s">
        <v>4437</v>
      </c>
    </row>
    <row r="201" spans="1:7" ht="11.25" customHeight="1">
      <c r="A201" s="301" t="s">
        <v>14</v>
      </c>
      <c r="B201" t="s">
        <v>4430</v>
      </c>
      <c r="C201" t="s">
        <v>4431</v>
      </c>
      <c r="D201" t="s">
        <v>4438</v>
      </c>
      <c r="E201" t="s">
        <v>4439</v>
      </c>
      <c r="F201" t="s">
        <v>3906</v>
      </c>
      <c r="G201" t="s">
        <v>4440</v>
      </c>
    </row>
    <row r="202" spans="1:7" ht="11.25" customHeight="1">
      <c r="A202" s="301" t="s">
        <v>14</v>
      </c>
      <c r="B202" t="s">
        <v>4430</v>
      </c>
      <c r="C202" t="s">
        <v>4431</v>
      </c>
      <c r="D202" t="s">
        <v>4441</v>
      </c>
      <c r="E202" t="s">
        <v>4442</v>
      </c>
      <c r="F202" t="s">
        <v>3906</v>
      </c>
      <c r="G202" t="s">
        <v>4443</v>
      </c>
    </row>
    <row r="203" spans="1:7" ht="11.25" customHeight="1">
      <c r="A203" s="301" t="s">
        <v>14</v>
      </c>
      <c r="B203" t="s">
        <v>4430</v>
      </c>
      <c r="C203" t="s">
        <v>4431</v>
      </c>
      <c r="D203" t="s">
        <v>4444</v>
      </c>
      <c r="E203" t="s">
        <v>4445</v>
      </c>
      <c r="F203" t="s">
        <v>3906</v>
      </c>
      <c r="G203" t="s">
        <v>4446</v>
      </c>
    </row>
    <row r="204" spans="1:7" ht="11.25" customHeight="1">
      <c r="A204" s="301" t="s">
        <v>14</v>
      </c>
      <c r="B204" t="s">
        <v>4430</v>
      </c>
      <c r="C204" t="s">
        <v>4431</v>
      </c>
      <c r="D204" t="s">
        <v>4447</v>
      </c>
      <c r="E204" t="s">
        <v>4448</v>
      </c>
      <c r="F204" t="s">
        <v>3906</v>
      </c>
      <c r="G204" t="s">
        <v>4449</v>
      </c>
    </row>
    <row r="205" spans="1:7" ht="11.25" customHeight="1">
      <c r="A205" s="301" t="s">
        <v>14</v>
      </c>
      <c r="B205" t="s">
        <v>4430</v>
      </c>
      <c r="C205" t="s">
        <v>4431</v>
      </c>
      <c r="D205" t="s">
        <v>4430</v>
      </c>
      <c r="E205" t="s">
        <v>4431</v>
      </c>
      <c r="F205" t="s">
        <v>3903</v>
      </c>
      <c r="G205" t="s">
        <v>4450</v>
      </c>
    </row>
    <row r="206" spans="1:7" ht="11.25" customHeight="1">
      <c r="A206" s="301" t="s">
        <v>14</v>
      </c>
      <c r="B206" t="s">
        <v>4430</v>
      </c>
      <c r="C206" t="s">
        <v>4431</v>
      </c>
      <c r="D206" t="s">
        <v>4451</v>
      </c>
      <c r="E206" t="s">
        <v>4452</v>
      </c>
      <c r="F206" t="s">
        <v>3906</v>
      </c>
      <c r="G206" t="s">
        <v>4453</v>
      </c>
    </row>
    <row r="207" spans="1:7" ht="11.25" customHeight="1">
      <c r="A207" s="301" t="s">
        <v>14</v>
      </c>
      <c r="B207" t="s">
        <v>4430</v>
      </c>
      <c r="C207" t="s">
        <v>4431</v>
      </c>
      <c r="D207" t="s">
        <v>4454</v>
      </c>
      <c r="E207" t="s">
        <v>4455</v>
      </c>
      <c r="F207" t="s">
        <v>3906</v>
      </c>
      <c r="G207" t="s">
        <v>4456</v>
      </c>
    </row>
    <row r="208" spans="1:7" ht="11.25" customHeight="1">
      <c r="A208" s="301" t="s">
        <v>14</v>
      </c>
      <c r="B208" t="s">
        <v>4430</v>
      </c>
      <c r="C208" t="s">
        <v>4431</v>
      </c>
      <c r="D208" t="s">
        <v>4457</v>
      </c>
      <c r="E208" t="s">
        <v>4458</v>
      </c>
      <c r="F208" t="s">
        <v>3906</v>
      </c>
      <c r="G208" t="s">
        <v>4459</v>
      </c>
    </row>
    <row r="209" spans="1:7" ht="11.25" customHeight="1">
      <c r="A209" s="301" t="s">
        <v>14</v>
      </c>
      <c r="B209" t="s">
        <v>4430</v>
      </c>
      <c r="C209" t="s">
        <v>4431</v>
      </c>
      <c r="D209" t="s">
        <v>4460</v>
      </c>
      <c r="E209" t="s">
        <v>4461</v>
      </c>
      <c r="F209" t="s">
        <v>3906</v>
      </c>
      <c r="G209" t="s">
        <v>4462</v>
      </c>
    </row>
    <row r="210" spans="1:7" ht="11.25" customHeight="1">
      <c r="A210" s="301" t="s">
        <v>14</v>
      </c>
      <c r="B210" t="s">
        <v>4430</v>
      </c>
      <c r="C210" t="s">
        <v>4431</v>
      </c>
      <c r="D210" t="s">
        <v>3917</v>
      </c>
      <c r="E210" t="s">
        <v>4463</v>
      </c>
      <c r="F210" t="s">
        <v>3906</v>
      </c>
      <c r="G210" t="s">
        <v>4464</v>
      </c>
    </row>
    <row r="211" spans="1:7" ht="11.25" customHeight="1">
      <c r="A211" s="301" t="s">
        <v>14</v>
      </c>
      <c r="B211" t="s">
        <v>4430</v>
      </c>
      <c r="C211" t="s">
        <v>4431</v>
      </c>
      <c r="D211" t="s">
        <v>4465</v>
      </c>
      <c r="E211" t="s">
        <v>4466</v>
      </c>
      <c r="F211" t="s">
        <v>3906</v>
      </c>
      <c r="G211" t="s">
        <v>4467</v>
      </c>
    </row>
    <row r="212" spans="1:7" ht="11.25" customHeight="1">
      <c r="A212" s="301" t="s">
        <v>14</v>
      </c>
      <c r="B212" t="s">
        <v>4430</v>
      </c>
      <c r="C212" t="s">
        <v>4431</v>
      </c>
      <c r="D212" t="s">
        <v>4468</v>
      </c>
      <c r="E212" t="s">
        <v>4469</v>
      </c>
      <c r="F212" t="s">
        <v>3906</v>
      </c>
      <c r="G212" t="s">
        <v>4470</v>
      </c>
    </row>
    <row r="213" spans="1:7" ht="11.25" customHeight="1">
      <c r="A213" s="301" t="s">
        <v>14</v>
      </c>
      <c r="B213" t="s">
        <v>4430</v>
      </c>
      <c r="C213" t="s">
        <v>4431</v>
      </c>
      <c r="D213" t="s">
        <v>4471</v>
      </c>
      <c r="E213" t="s">
        <v>4472</v>
      </c>
      <c r="F213" t="s">
        <v>3906</v>
      </c>
      <c r="G213" t="s">
        <v>4473</v>
      </c>
    </row>
    <row r="214" spans="1:7" ht="11.25" customHeight="1">
      <c r="A214" s="301" t="s">
        <v>14</v>
      </c>
      <c r="B214" t="s">
        <v>4430</v>
      </c>
      <c r="C214" t="s">
        <v>4431</v>
      </c>
      <c r="D214" t="s">
        <v>4474</v>
      </c>
      <c r="E214" t="s">
        <v>4475</v>
      </c>
      <c r="F214" t="s">
        <v>3906</v>
      </c>
      <c r="G214" t="s">
        <v>4476</v>
      </c>
    </row>
    <row r="215" spans="1:7" ht="11.25" customHeight="1">
      <c r="A215" s="301" t="s">
        <v>14</v>
      </c>
      <c r="B215" t="s">
        <v>4430</v>
      </c>
      <c r="C215" t="s">
        <v>4431</v>
      </c>
      <c r="D215" t="s">
        <v>4477</v>
      </c>
      <c r="E215" t="s">
        <v>4478</v>
      </c>
      <c r="F215" t="s">
        <v>3906</v>
      </c>
      <c r="G215" t="s">
        <v>4479</v>
      </c>
    </row>
    <row r="216" spans="1:7" ht="11.25" customHeight="1">
      <c r="A216" s="301" t="s">
        <v>14</v>
      </c>
      <c r="B216" t="s">
        <v>4480</v>
      </c>
      <c r="C216" t="s">
        <v>4481</v>
      </c>
      <c r="D216" t="s">
        <v>4482</v>
      </c>
      <c r="E216" t="s">
        <v>4483</v>
      </c>
      <c r="F216" t="s">
        <v>3906</v>
      </c>
      <c r="G216" t="s">
        <v>4484</v>
      </c>
    </row>
    <row r="217" spans="1:7" ht="11.25" customHeight="1">
      <c r="A217" s="301" t="s">
        <v>14</v>
      </c>
      <c r="B217" t="s">
        <v>4480</v>
      </c>
      <c r="C217" t="s">
        <v>4481</v>
      </c>
      <c r="D217" t="s">
        <v>4485</v>
      </c>
      <c r="E217" t="s">
        <v>4486</v>
      </c>
      <c r="F217" t="s">
        <v>3906</v>
      </c>
      <c r="G217" t="s">
        <v>4487</v>
      </c>
    </row>
    <row r="218" spans="1:7" ht="11.25" customHeight="1">
      <c r="A218" s="301" t="s">
        <v>14</v>
      </c>
      <c r="B218" t="s">
        <v>4480</v>
      </c>
      <c r="C218" t="s">
        <v>4481</v>
      </c>
      <c r="D218" t="s">
        <v>4480</v>
      </c>
      <c r="E218" t="s">
        <v>4481</v>
      </c>
      <c r="F218" t="s">
        <v>3903</v>
      </c>
      <c r="G218" t="s">
        <v>4488</v>
      </c>
    </row>
    <row r="219" spans="1:7" ht="11.25" customHeight="1">
      <c r="A219" s="301" t="s">
        <v>14</v>
      </c>
      <c r="B219" t="s">
        <v>4480</v>
      </c>
      <c r="C219" t="s">
        <v>4481</v>
      </c>
      <c r="D219" t="s">
        <v>4489</v>
      </c>
      <c r="E219" t="s">
        <v>4490</v>
      </c>
      <c r="F219" t="s">
        <v>3906</v>
      </c>
      <c r="G219" t="s">
        <v>4491</v>
      </c>
    </row>
    <row r="220" spans="1:7" ht="11.25" customHeight="1">
      <c r="A220" s="301" t="s">
        <v>14</v>
      </c>
      <c r="B220" t="s">
        <v>4480</v>
      </c>
      <c r="C220" t="s">
        <v>4481</v>
      </c>
      <c r="D220" t="s">
        <v>4492</v>
      </c>
      <c r="E220" t="s">
        <v>4493</v>
      </c>
      <c r="F220" t="s">
        <v>3906</v>
      </c>
      <c r="G220" t="s">
        <v>4494</v>
      </c>
    </row>
    <row r="221" spans="1:7" ht="11.25" customHeight="1">
      <c r="A221" s="301" t="s">
        <v>14</v>
      </c>
      <c r="B221" t="s">
        <v>4480</v>
      </c>
      <c r="C221" t="s">
        <v>4481</v>
      </c>
      <c r="D221" t="s">
        <v>4495</v>
      </c>
      <c r="E221" t="s">
        <v>4496</v>
      </c>
      <c r="F221" t="s">
        <v>3906</v>
      </c>
      <c r="G221" t="s">
        <v>4497</v>
      </c>
    </row>
    <row r="222" spans="1:7" ht="11.25" customHeight="1">
      <c r="A222" s="301" t="s">
        <v>14</v>
      </c>
      <c r="B222" t="s">
        <v>4480</v>
      </c>
      <c r="C222" t="s">
        <v>4481</v>
      </c>
      <c r="D222" t="s">
        <v>4498</v>
      </c>
      <c r="E222" t="s">
        <v>4499</v>
      </c>
      <c r="F222" t="s">
        <v>3906</v>
      </c>
      <c r="G222" t="s">
        <v>4500</v>
      </c>
    </row>
    <row r="223" spans="1:7" ht="11.25" customHeight="1">
      <c r="A223" s="301" t="s">
        <v>14</v>
      </c>
      <c r="B223" t="s">
        <v>4480</v>
      </c>
      <c r="C223" t="s">
        <v>4481</v>
      </c>
      <c r="D223" t="s">
        <v>4501</v>
      </c>
      <c r="E223" t="s">
        <v>4502</v>
      </c>
      <c r="F223" t="s">
        <v>3906</v>
      </c>
      <c r="G223" t="s">
        <v>4503</v>
      </c>
    </row>
    <row r="224" spans="1:7" ht="11.25" customHeight="1">
      <c r="A224" s="301" t="s">
        <v>14</v>
      </c>
      <c r="B224" t="s">
        <v>4480</v>
      </c>
      <c r="C224" t="s">
        <v>4481</v>
      </c>
      <c r="D224" t="s">
        <v>4504</v>
      </c>
      <c r="E224" t="s">
        <v>4505</v>
      </c>
      <c r="F224" t="s">
        <v>3906</v>
      </c>
      <c r="G224" t="s">
        <v>4506</v>
      </c>
    </row>
    <row r="225" spans="1:7" ht="11.25" customHeight="1">
      <c r="A225" s="301" t="s">
        <v>14</v>
      </c>
      <c r="B225" t="s">
        <v>4480</v>
      </c>
      <c r="C225" t="s">
        <v>4481</v>
      </c>
      <c r="D225" t="s">
        <v>4507</v>
      </c>
      <c r="E225" t="s">
        <v>4508</v>
      </c>
      <c r="F225" t="s">
        <v>3906</v>
      </c>
      <c r="G225" t="s">
        <v>4509</v>
      </c>
    </row>
    <row r="226" spans="1:7" ht="11.25" customHeight="1">
      <c r="A226" s="301" t="s">
        <v>14</v>
      </c>
      <c r="B226" t="s">
        <v>4480</v>
      </c>
      <c r="C226" t="s">
        <v>4481</v>
      </c>
      <c r="D226" t="s">
        <v>4510</v>
      </c>
      <c r="E226" t="s">
        <v>4511</v>
      </c>
      <c r="F226" t="s">
        <v>4512</v>
      </c>
      <c r="G226" t="s">
        <v>4513</v>
      </c>
    </row>
    <row r="227" spans="1:7" ht="11.25" customHeight="1">
      <c r="A227" s="301" t="s">
        <v>14</v>
      </c>
      <c r="B227" t="s">
        <v>4514</v>
      </c>
      <c r="C227" t="s">
        <v>4515</v>
      </c>
      <c r="D227" t="s">
        <v>4516</v>
      </c>
      <c r="E227" t="s">
        <v>4517</v>
      </c>
      <c r="F227" t="s">
        <v>3906</v>
      </c>
      <c r="G227" t="s">
        <v>4518</v>
      </c>
    </row>
    <row r="228" spans="1:7" ht="11.25" customHeight="1">
      <c r="A228" s="301" t="s">
        <v>14</v>
      </c>
      <c r="B228" t="s">
        <v>4514</v>
      </c>
      <c r="C228" t="s">
        <v>4515</v>
      </c>
      <c r="D228" t="s">
        <v>4519</v>
      </c>
      <c r="E228" t="s">
        <v>4520</v>
      </c>
      <c r="F228" t="s">
        <v>3906</v>
      </c>
      <c r="G228" t="s">
        <v>4521</v>
      </c>
    </row>
    <row r="229" spans="1:7" ht="11.25" customHeight="1">
      <c r="A229" s="301" t="s">
        <v>14</v>
      </c>
      <c r="B229" t="s">
        <v>4514</v>
      </c>
      <c r="C229" t="s">
        <v>4515</v>
      </c>
      <c r="D229" t="s">
        <v>4522</v>
      </c>
      <c r="E229" t="s">
        <v>4523</v>
      </c>
      <c r="F229" t="s">
        <v>3906</v>
      </c>
      <c r="G229" t="s">
        <v>4524</v>
      </c>
    </row>
    <row r="230" spans="1:7" ht="11.25" customHeight="1">
      <c r="A230" s="301" t="s">
        <v>14</v>
      </c>
      <c r="B230" t="s">
        <v>4514</v>
      </c>
      <c r="C230" t="s">
        <v>4515</v>
      </c>
      <c r="D230" t="s">
        <v>4394</v>
      </c>
      <c r="E230" t="s">
        <v>4525</v>
      </c>
      <c r="F230" t="s">
        <v>3906</v>
      </c>
      <c r="G230" t="s">
        <v>4526</v>
      </c>
    </row>
    <row r="231" spans="1:7" ht="11.25" customHeight="1">
      <c r="A231" s="301" t="s">
        <v>14</v>
      </c>
      <c r="B231" t="s">
        <v>4514</v>
      </c>
      <c r="C231" t="s">
        <v>4515</v>
      </c>
      <c r="D231" t="s">
        <v>4527</v>
      </c>
      <c r="E231" t="s">
        <v>4528</v>
      </c>
      <c r="F231" t="s">
        <v>3906</v>
      </c>
      <c r="G231" t="s">
        <v>4529</v>
      </c>
    </row>
    <row r="232" spans="1:7" ht="11.25" customHeight="1">
      <c r="A232" s="301" t="s">
        <v>14</v>
      </c>
      <c r="B232" t="s">
        <v>4514</v>
      </c>
      <c r="C232" t="s">
        <v>4515</v>
      </c>
      <c r="D232" t="s">
        <v>4514</v>
      </c>
      <c r="E232" t="s">
        <v>4515</v>
      </c>
      <c r="F232" t="s">
        <v>3903</v>
      </c>
      <c r="G232" t="s">
        <v>4530</v>
      </c>
    </row>
    <row r="233" spans="1:7" ht="11.25" customHeight="1">
      <c r="A233" s="301" t="s">
        <v>14</v>
      </c>
      <c r="B233" t="s">
        <v>4514</v>
      </c>
      <c r="C233" t="s">
        <v>4515</v>
      </c>
      <c r="D233" t="s">
        <v>4531</v>
      </c>
      <c r="E233" t="s">
        <v>4532</v>
      </c>
      <c r="F233" t="s">
        <v>3906</v>
      </c>
      <c r="G233" t="s">
        <v>4533</v>
      </c>
    </row>
    <row r="234" spans="1:7" ht="11.25" customHeight="1">
      <c r="A234" s="301" t="s">
        <v>14</v>
      </c>
      <c r="B234" t="s">
        <v>4514</v>
      </c>
      <c r="C234" t="s">
        <v>4515</v>
      </c>
      <c r="D234" t="s">
        <v>4534</v>
      </c>
      <c r="E234" t="s">
        <v>4535</v>
      </c>
      <c r="F234" t="s">
        <v>3906</v>
      </c>
      <c r="G234" t="s">
        <v>4536</v>
      </c>
    </row>
    <row r="235" spans="1:7" ht="11.25" customHeight="1">
      <c r="A235" s="301" t="s">
        <v>14</v>
      </c>
      <c r="B235" t="s">
        <v>4514</v>
      </c>
      <c r="C235" t="s">
        <v>4515</v>
      </c>
      <c r="D235" t="s">
        <v>4537</v>
      </c>
      <c r="E235" t="s">
        <v>4538</v>
      </c>
      <c r="F235" t="s">
        <v>3906</v>
      </c>
      <c r="G235" t="s">
        <v>4539</v>
      </c>
    </row>
    <row r="236" spans="1:7" ht="11.25" customHeight="1">
      <c r="A236" s="301" t="s">
        <v>14</v>
      </c>
      <c r="B236" t="s">
        <v>4514</v>
      </c>
      <c r="C236" t="s">
        <v>4515</v>
      </c>
      <c r="D236" t="s">
        <v>3921</v>
      </c>
      <c r="E236" t="s">
        <v>4540</v>
      </c>
      <c r="F236" t="s">
        <v>3906</v>
      </c>
      <c r="G236" t="s">
        <v>4541</v>
      </c>
    </row>
    <row r="237" spans="1:7" ht="11.25" customHeight="1">
      <c r="A237" s="301" t="s">
        <v>14</v>
      </c>
      <c r="B237" t="s">
        <v>4514</v>
      </c>
      <c r="C237" t="s">
        <v>4515</v>
      </c>
      <c r="D237" t="s">
        <v>4542</v>
      </c>
      <c r="E237" t="s">
        <v>4543</v>
      </c>
      <c r="F237" t="s">
        <v>3906</v>
      </c>
      <c r="G237" t="s">
        <v>4544</v>
      </c>
    </row>
    <row r="238" spans="1:7" ht="11.25" customHeight="1">
      <c r="A238" s="301" t="s">
        <v>14</v>
      </c>
      <c r="B238" t="s">
        <v>4514</v>
      </c>
      <c r="C238" t="s">
        <v>4515</v>
      </c>
      <c r="D238" t="s">
        <v>4545</v>
      </c>
      <c r="E238" t="s">
        <v>4546</v>
      </c>
      <c r="F238" t="s">
        <v>3906</v>
      </c>
      <c r="G238" t="s">
        <v>4547</v>
      </c>
    </row>
    <row r="239" spans="1:7" ht="11.25" customHeight="1">
      <c r="A239" s="301" t="s">
        <v>14</v>
      </c>
      <c r="B239" t="s">
        <v>4514</v>
      </c>
      <c r="C239" t="s">
        <v>4515</v>
      </c>
      <c r="D239" t="s">
        <v>4271</v>
      </c>
      <c r="E239" t="s">
        <v>4548</v>
      </c>
      <c r="F239" t="s">
        <v>3906</v>
      </c>
      <c r="G239" t="s">
        <v>4549</v>
      </c>
    </row>
    <row r="240" spans="1:7" ht="11.25" customHeight="1">
      <c r="A240" s="301" t="s">
        <v>14</v>
      </c>
      <c r="B240" t="s">
        <v>4514</v>
      </c>
      <c r="C240" t="s">
        <v>4515</v>
      </c>
      <c r="D240" t="s">
        <v>4550</v>
      </c>
      <c r="E240" t="s">
        <v>4551</v>
      </c>
      <c r="F240" t="s">
        <v>3906</v>
      </c>
      <c r="G240" t="s">
        <v>4552</v>
      </c>
    </row>
    <row r="241" spans="1:7" ht="11.25" customHeight="1">
      <c r="A241" s="301" t="s">
        <v>14</v>
      </c>
      <c r="B241" t="s">
        <v>4514</v>
      </c>
      <c r="C241" t="s">
        <v>4515</v>
      </c>
      <c r="D241" t="s">
        <v>4553</v>
      </c>
      <c r="E241" t="s">
        <v>4554</v>
      </c>
      <c r="F241" t="s">
        <v>3906</v>
      </c>
      <c r="G241" t="s">
        <v>4555</v>
      </c>
    </row>
    <row r="242" spans="1:7" ht="11.25" customHeight="1">
      <c r="A242" s="301" t="s">
        <v>14</v>
      </c>
      <c r="B242" t="s">
        <v>4514</v>
      </c>
      <c r="C242" t="s">
        <v>4515</v>
      </c>
      <c r="D242" t="s">
        <v>4556</v>
      </c>
      <c r="E242" t="s">
        <v>4557</v>
      </c>
      <c r="F242" t="s">
        <v>3906</v>
      </c>
      <c r="G242" t="s">
        <v>4558</v>
      </c>
    </row>
    <row r="243" spans="1:7" ht="11.25" customHeight="1">
      <c r="A243" s="301" t="s">
        <v>14</v>
      </c>
      <c r="B243" t="s">
        <v>4514</v>
      </c>
      <c r="C243" t="s">
        <v>4515</v>
      </c>
      <c r="D243" t="s">
        <v>4559</v>
      </c>
      <c r="E243" t="s">
        <v>4560</v>
      </c>
      <c r="F243" t="s">
        <v>3906</v>
      </c>
      <c r="G243" t="s">
        <v>4561</v>
      </c>
    </row>
    <row r="244" spans="1:7" ht="11.25" customHeight="1">
      <c r="A244" s="301" t="s">
        <v>14</v>
      </c>
      <c r="B244" t="s">
        <v>4514</v>
      </c>
      <c r="C244" t="s">
        <v>4515</v>
      </c>
      <c r="D244" t="s">
        <v>4562</v>
      </c>
      <c r="E244" t="s">
        <v>4563</v>
      </c>
      <c r="F244" t="s">
        <v>3906</v>
      </c>
      <c r="G244" t="s">
        <v>4564</v>
      </c>
    </row>
    <row r="245" spans="1:7" ht="11.25" customHeight="1">
      <c r="A245" s="301" t="s">
        <v>14</v>
      </c>
      <c r="B245" t="s">
        <v>4514</v>
      </c>
      <c r="C245" t="s">
        <v>4515</v>
      </c>
      <c r="D245" t="s">
        <v>4565</v>
      </c>
      <c r="E245" t="s">
        <v>4566</v>
      </c>
      <c r="F245" t="s">
        <v>3906</v>
      </c>
      <c r="G245" t="s">
        <v>4567</v>
      </c>
    </row>
    <row r="246" spans="1:7" ht="11.25" customHeight="1">
      <c r="A246" s="301" t="s">
        <v>14</v>
      </c>
      <c r="B246" t="s">
        <v>4568</v>
      </c>
      <c r="C246" t="s">
        <v>4569</v>
      </c>
      <c r="D246" t="s">
        <v>4516</v>
      </c>
      <c r="E246" t="s">
        <v>4570</v>
      </c>
      <c r="F246" t="s">
        <v>3906</v>
      </c>
      <c r="G246" t="s">
        <v>4571</v>
      </c>
    </row>
    <row r="247" spans="1:7" ht="11.25" customHeight="1">
      <c r="A247" s="301" t="s">
        <v>14</v>
      </c>
      <c r="B247" t="s">
        <v>4568</v>
      </c>
      <c r="C247" t="s">
        <v>4569</v>
      </c>
      <c r="D247" t="s">
        <v>4572</v>
      </c>
      <c r="E247" t="s">
        <v>4573</v>
      </c>
      <c r="F247" t="s">
        <v>3906</v>
      </c>
      <c r="G247" t="s">
        <v>4574</v>
      </c>
    </row>
    <row r="248" spans="1:7" ht="11.25" customHeight="1">
      <c r="A248" s="301" t="s">
        <v>14</v>
      </c>
      <c r="B248" t="s">
        <v>4568</v>
      </c>
      <c r="C248" t="s">
        <v>4569</v>
      </c>
      <c r="D248" t="s">
        <v>4575</v>
      </c>
      <c r="E248" t="s">
        <v>4576</v>
      </c>
      <c r="F248" t="s">
        <v>3906</v>
      </c>
      <c r="G248" t="s">
        <v>4577</v>
      </c>
    </row>
    <row r="249" spans="1:7" ht="11.25" customHeight="1">
      <c r="A249" s="301" t="s">
        <v>14</v>
      </c>
      <c r="B249" t="s">
        <v>4568</v>
      </c>
      <c r="C249" t="s">
        <v>4569</v>
      </c>
      <c r="D249" t="s">
        <v>4578</v>
      </c>
      <c r="E249" t="s">
        <v>4579</v>
      </c>
      <c r="F249" t="s">
        <v>3906</v>
      </c>
      <c r="G249" t="s">
        <v>4580</v>
      </c>
    </row>
    <row r="250" spans="1:7" ht="11.25" customHeight="1">
      <c r="A250" s="301" t="s">
        <v>14</v>
      </c>
      <c r="B250" t="s">
        <v>4568</v>
      </c>
      <c r="C250" t="s">
        <v>4569</v>
      </c>
      <c r="D250" t="s">
        <v>4581</v>
      </c>
      <c r="E250" t="s">
        <v>4582</v>
      </c>
      <c r="F250" t="s">
        <v>3906</v>
      </c>
      <c r="G250" t="s">
        <v>4583</v>
      </c>
    </row>
    <row r="251" spans="1:7" ht="11.25" customHeight="1">
      <c r="A251" s="301" t="s">
        <v>14</v>
      </c>
      <c r="B251" t="s">
        <v>4568</v>
      </c>
      <c r="C251" t="s">
        <v>4569</v>
      </c>
      <c r="D251" t="s">
        <v>4568</v>
      </c>
      <c r="E251" t="s">
        <v>4569</v>
      </c>
      <c r="F251" t="s">
        <v>3903</v>
      </c>
      <c r="G251" t="s">
        <v>4584</v>
      </c>
    </row>
    <row r="252" spans="1:7" ht="11.25" customHeight="1">
      <c r="A252" s="301" t="s">
        <v>14</v>
      </c>
      <c r="B252" t="s">
        <v>4568</v>
      </c>
      <c r="C252" t="s">
        <v>4569</v>
      </c>
      <c r="D252" t="s">
        <v>4585</v>
      </c>
      <c r="E252" t="s">
        <v>4586</v>
      </c>
      <c r="F252" t="s">
        <v>3906</v>
      </c>
      <c r="G252" t="s">
        <v>4587</v>
      </c>
    </row>
    <row r="253" spans="1:7" ht="11.25" customHeight="1">
      <c r="A253" s="301" t="s">
        <v>14</v>
      </c>
      <c r="B253" t="s">
        <v>4568</v>
      </c>
      <c r="C253" t="s">
        <v>4569</v>
      </c>
      <c r="D253" t="s">
        <v>4588</v>
      </c>
      <c r="E253" t="s">
        <v>4589</v>
      </c>
      <c r="F253" t="s">
        <v>3906</v>
      </c>
      <c r="G253" t="s">
        <v>4590</v>
      </c>
    </row>
    <row r="254" spans="1:7" ht="11.25" customHeight="1">
      <c r="A254" s="301" t="s">
        <v>14</v>
      </c>
      <c r="B254" t="s">
        <v>4568</v>
      </c>
      <c r="C254" t="s">
        <v>4569</v>
      </c>
      <c r="D254" t="s">
        <v>4591</v>
      </c>
      <c r="E254" t="s">
        <v>4592</v>
      </c>
      <c r="F254" t="s">
        <v>3906</v>
      </c>
      <c r="G254" t="s">
        <v>4593</v>
      </c>
    </row>
    <row r="255" spans="1:7" ht="11.25" customHeight="1">
      <c r="A255" s="301" t="s">
        <v>14</v>
      </c>
      <c r="B255" t="s">
        <v>4568</v>
      </c>
      <c r="C255" t="s">
        <v>4569</v>
      </c>
      <c r="D255" t="s">
        <v>4594</v>
      </c>
      <c r="E255" t="s">
        <v>4595</v>
      </c>
      <c r="F255" t="s">
        <v>3906</v>
      </c>
      <c r="G255" t="s">
        <v>4596</v>
      </c>
    </row>
    <row r="256" spans="1:7" ht="11.25" customHeight="1">
      <c r="A256" s="301" t="s">
        <v>14</v>
      </c>
      <c r="B256" t="s">
        <v>4568</v>
      </c>
      <c r="C256" t="s">
        <v>4569</v>
      </c>
      <c r="D256" t="s">
        <v>4468</v>
      </c>
      <c r="E256" t="s">
        <v>4597</v>
      </c>
      <c r="F256" t="s">
        <v>3906</v>
      </c>
      <c r="G256" t="s">
        <v>4598</v>
      </c>
    </row>
    <row r="257" spans="1:7" ht="11.25" customHeight="1">
      <c r="A257" s="301" t="s">
        <v>14</v>
      </c>
      <c r="B257" t="s">
        <v>4568</v>
      </c>
      <c r="C257" t="s">
        <v>4569</v>
      </c>
      <c r="D257" t="s">
        <v>4599</v>
      </c>
      <c r="E257" t="s">
        <v>4600</v>
      </c>
      <c r="F257" t="s">
        <v>3906</v>
      </c>
      <c r="G257" t="s">
        <v>4601</v>
      </c>
    </row>
    <row r="258" spans="1:7" ht="11.25" customHeight="1">
      <c r="A258" s="301" t="s">
        <v>14</v>
      </c>
      <c r="B258" t="s">
        <v>4568</v>
      </c>
      <c r="C258" t="s">
        <v>4569</v>
      </c>
      <c r="D258" t="s">
        <v>4602</v>
      </c>
      <c r="E258" t="s">
        <v>4603</v>
      </c>
      <c r="F258" t="s">
        <v>3906</v>
      </c>
      <c r="G258" t="s">
        <v>4604</v>
      </c>
    </row>
    <row r="259" spans="1:7" ht="11.25" customHeight="1">
      <c r="A259" s="301" t="s">
        <v>14</v>
      </c>
      <c r="B259" t="s">
        <v>4568</v>
      </c>
      <c r="C259" t="s">
        <v>4569</v>
      </c>
      <c r="D259" t="s">
        <v>4605</v>
      </c>
      <c r="E259" t="s">
        <v>4606</v>
      </c>
      <c r="F259" t="s">
        <v>3906</v>
      </c>
      <c r="G259" t="s">
        <v>4607</v>
      </c>
    </row>
    <row r="260" spans="1:7" ht="11.25" customHeight="1">
      <c r="A260" s="301" t="s">
        <v>14</v>
      </c>
      <c r="B260" t="s">
        <v>4568</v>
      </c>
      <c r="C260" t="s">
        <v>4569</v>
      </c>
      <c r="D260" t="s">
        <v>4608</v>
      </c>
      <c r="E260" t="s">
        <v>4609</v>
      </c>
      <c r="F260" t="s">
        <v>3906</v>
      </c>
      <c r="G260" t="s">
        <v>4610</v>
      </c>
    </row>
    <row r="261" spans="1:7" ht="11.25" customHeight="1">
      <c r="A261" s="301" t="s">
        <v>14</v>
      </c>
      <c r="B261" t="s">
        <v>4611</v>
      </c>
      <c r="C261" t="s">
        <v>4612</v>
      </c>
      <c r="D261" t="s">
        <v>4613</v>
      </c>
      <c r="E261" t="s">
        <v>4614</v>
      </c>
      <c r="F261" t="s">
        <v>3906</v>
      </c>
      <c r="G261" t="s">
        <v>4615</v>
      </c>
    </row>
    <row r="262" spans="1:7" ht="11.25" customHeight="1">
      <c r="A262" s="301" t="s">
        <v>14</v>
      </c>
      <c r="B262" t="s">
        <v>4611</v>
      </c>
      <c r="C262" t="s">
        <v>4612</v>
      </c>
      <c r="D262" t="s">
        <v>4616</v>
      </c>
      <c r="E262" t="s">
        <v>4617</v>
      </c>
      <c r="F262" t="s">
        <v>3906</v>
      </c>
      <c r="G262" t="s">
        <v>4618</v>
      </c>
    </row>
    <row r="263" spans="1:7" ht="11.25" customHeight="1">
      <c r="A263" s="301" t="s">
        <v>14</v>
      </c>
      <c r="B263" t="s">
        <v>4611</v>
      </c>
      <c r="C263" t="s">
        <v>4612</v>
      </c>
      <c r="D263" t="s">
        <v>4619</v>
      </c>
      <c r="E263" t="s">
        <v>4620</v>
      </c>
      <c r="F263" t="s">
        <v>3906</v>
      </c>
      <c r="G263" t="s">
        <v>4621</v>
      </c>
    </row>
    <row r="264" spans="1:7" ht="11.25" customHeight="1">
      <c r="A264" s="301" t="s">
        <v>14</v>
      </c>
      <c r="B264" t="s">
        <v>4611</v>
      </c>
      <c r="C264" t="s">
        <v>4612</v>
      </c>
      <c r="D264" t="s">
        <v>4622</v>
      </c>
      <c r="E264" t="s">
        <v>4623</v>
      </c>
      <c r="F264" t="s">
        <v>3906</v>
      </c>
      <c r="G264" t="s">
        <v>4624</v>
      </c>
    </row>
    <row r="265" spans="1:7" ht="11.25" customHeight="1">
      <c r="A265" s="301" t="s">
        <v>14</v>
      </c>
      <c r="B265" t="s">
        <v>4611</v>
      </c>
      <c r="C265" t="s">
        <v>4612</v>
      </c>
      <c r="D265" t="s">
        <v>4625</v>
      </c>
      <c r="E265" t="s">
        <v>4626</v>
      </c>
      <c r="F265" t="s">
        <v>3906</v>
      </c>
      <c r="G265" t="s">
        <v>4627</v>
      </c>
    </row>
    <row r="266" spans="1:7" ht="11.25" customHeight="1">
      <c r="A266" s="301" t="s">
        <v>14</v>
      </c>
      <c r="B266" t="s">
        <v>4611</v>
      </c>
      <c r="C266" t="s">
        <v>4612</v>
      </c>
      <c r="D266" t="s">
        <v>4628</v>
      </c>
      <c r="E266" t="s">
        <v>4629</v>
      </c>
      <c r="F266" t="s">
        <v>3906</v>
      </c>
      <c r="G266" t="s">
        <v>4630</v>
      </c>
    </row>
    <row r="267" spans="1:7" ht="11.25" customHeight="1">
      <c r="A267" s="301" t="s">
        <v>14</v>
      </c>
      <c r="B267" t="s">
        <v>4611</v>
      </c>
      <c r="C267" t="s">
        <v>4612</v>
      </c>
      <c r="D267" t="s">
        <v>4631</v>
      </c>
      <c r="E267" t="s">
        <v>4632</v>
      </c>
      <c r="F267" t="s">
        <v>3906</v>
      </c>
      <c r="G267" t="s">
        <v>4633</v>
      </c>
    </row>
    <row r="268" spans="1:7" ht="11.25" customHeight="1">
      <c r="A268" s="301" t="s">
        <v>14</v>
      </c>
      <c r="B268" t="s">
        <v>4611</v>
      </c>
      <c r="C268" t="s">
        <v>4612</v>
      </c>
      <c r="D268" t="s">
        <v>4611</v>
      </c>
      <c r="E268" t="s">
        <v>4612</v>
      </c>
      <c r="F268" t="s">
        <v>3903</v>
      </c>
      <c r="G268" t="s">
        <v>4634</v>
      </c>
    </row>
    <row r="269" spans="1:7" ht="11.25" customHeight="1">
      <c r="A269" s="301" t="s">
        <v>14</v>
      </c>
      <c r="B269" t="s">
        <v>4611</v>
      </c>
      <c r="C269" t="s">
        <v>4612</v>
      </c>
      <c r="D269" t="s">
        <v>4635</v>
      </c>
      <c r="E269" t="s">
        <v>4636</v>
      </c>
      <c r="F269" t="s">
        <v>3906</v>
      </c>
      <c r="G269" t="s">
        <v>4637</v>
      </c>
    </row>
    <row r="270" spans="1:7" ht="11.25" customHeight="1">
      <c r="A270" s="301" t="s">
        <v>14</v>
      </c>
      <c r="B270" t="s">
        <v>4611</v>
      </c>
      <c r="C270" t="s">
        <v>4612</v>
      </c>
      <c r="D270" t="s">
        <v>4638</v>
      </c>
      <c r="E270" t="s">
        <v>4639</v>
      </c>
      <c r="F270" t="s">
        <v>3906</v>
      </c>
      <c r="G270" t="s">
        <v>4640</v>
      </c>
    </row>
    <row r="271" spans="1:7" ht="11.25" customHeight="1">
      <c r="A271" s="301" t="s">
        <v>14</v>
      </c>
      <c r="B271" t="s">
        <v>4611</v>
      </c>
      <c r="C271" t="s">
        <v>4612</v>
      </c>
      <c r="D271" t="s">
        <v>4641</v>
      </c>
      <c r="E271" t="s">
        <v>4642</v>
      </c>
      <c r="F271" t="s">
        <v>3906</v>
      </c>
      <c r="G271" t="s">
        <v>4643</v>
      </c>
    </row>
    <row r="272" spans="1:7" ht="11.25" customHeight="1">
      <c r="A272" s="301" t="s">
        <v>14</v>
      </c>
      <c r="B272" t="s">
        <v>4611</v>
      </c>
      <c r="C272" t="s">
        <v>4612</v>
      </c>
      <c r="D272" t="s">
        <v>4644</v>
      </c>
      <c r="E272" t="s">
        <v>4645</v>
      </c>
      <c r="F272" t="s">
        <v>3906</v>
      </c>
      <c r="G272" t="s">
        <v>4646</v>
      </c>
    </row>
    <row r="273" spans="1:7" ht="11.25" customHeight="1">
      <c r="A273" s="301" t="s">
        <v>14</v>
      </c>
      <c r="B273" t="s">
        <v>4611</v>
      </c>
      <c r="C273" t="s">
        <v>4612</v>
      </c>
      <c r="D273" t="s">
        <v>4647</v>
      </c>
      <c r="E273" t="s">
        <v>4648</v>
      </c>
      <c r="F273" t="s">
        <v>3906</v>
      </c>
      <c r="G273" t="s">
        <v>4649</v>
      </c>
    </row>
    <row r="274" spans="1:7" ht="11.25" customHeight="1">
      <c r="A274" s="301" t="s">
        <v>14</v>
      </c>
      <c r="B274" t="s">
        <v>4611</v>
      </c>
      <c r="C274" t="s">
        <v>4612</v>
      </c>
      <c r="D274" t="s">
        <v>4650</v>
      </c>
      <c r="E274" t="s">
        <v>4651</v>
      </c>
      <c r="F274" t="s">
        <v>3906</v>
      </c>
      <c r="G274" t="s">
        <v>4652</v>
      </c>
    </row>
    <row r="275" spans="1:7" ht="11.25" customHeight="1">
      <c r="A275" s="301" t="s">
        <v>14</v>
      </c>
      <c r="B275" t="s">
        <v>4611</v>
      </c>
      <c r="C275" t="s">
        <v>4612</v>
      </c>
      <c r="D275" t="s">
        <v>4653</v>
      </c>
      <c r="E275" t="s">
        <v>4654</v>
      </c>
      <c r="F275" t="s">
        <v>3906</v>
      </c>
      <c r="G275" t="s">
        <v>4655</v>
      </c>
    </row>
    <row r="276" spans="1:7" ht="11.25" customHeight="1">
      <c r="A276" s="301" t="s">
        <v>14</v>
      </c>
      <c r="B276" t="s">
        <v>4611</v>
      </c>
      <c r="C276" t="s">
        <v>4612</v>
      </c>
      <c r="D276" t="s">
        <v>4656</v>
      </c>
      <c r="E276" t="s">
        <v>4657</v>
      </c>
      <c r="F276" t="s">
        <v>3906</v>
      </c>
      <c r="G276" t="s">
        <v>4658</v>
      </c>
    </row>
    <row r="277" spans="1:7" ht="11.25" customHeight="1">
      <c r="A277" s="301" t="s">
        <v>14</v>
      </c>
      <c r="B277" t="s">
        <v>4659</v>
      </c>
      <c r="C277" t="s">
        <v>4660</v>
      </c>
      <c r="D277" t="s">
        <v>4661</v>
      </c>
      <c r="E277" t="s">
        <v>4662</v>
      </c>
      <c r="F277" t="s">
        <v>3906</v>
      </c>
      <c r="G277" t="s">
        <v>4663</v>
      </c>
    </row>
    <row r="278" spans="1:7" ht="11.25" customHeight="1">
      <c r="A278" s="301" t="s">
        <v>14</v>
      </c>
      <c r="B278" t="s">
        <v>4659</v>
      </c>
      <c r="C278" t="s">
        <v>4660</v>
      </c>
      <c r="D278" t="s">
        <v>4664</v>
      </c>
      <c r="E278" t="s">
        <v>4665</v>
      </c>
      <c r="F278" t="s">
        <v>3906</v>
      </c>
      <c r="G278" t="s">
        <v>4666</v>
      </c>
    </row>
    <row r="279" spans="1:7" ht="11.25" customHeight="1">
      <c r="A279" s="301" t="s">
        <v>14</v>
      </c>
      <c r="B279" t="s">
        <v>4659</v>
      </c>
      <c r="C279" t="s">
        <v>4660</v>
      </c>
      <c r="D279" t="s">
        <v>4659</v>
      </c>
      <c r="E279" t="s">
        <v>4660</v>
      </c>
      <c r="F279" t="s">
        <v>3903</v>
      </c>
      <c r="G279" t="s">
        <v>4667</v>
      </c>
    </row>
    <row r="280" spans="1:7" ht="11.25" customHeight="1">
      <c r="A280" s="301" t="s">
        <v>14</v>
      </c>
      <c r="B280" t="s">
        <v>4659</v>
      </c>
      <c r="C280" t="s">
        <v>4660</v>
      </c>
      <c r="D280" t="s">
        <v>4668</v>
      </c>
      <c r="E280" t="s">
        <v>4669</v>
      </c>
      <c r="F280" t="s">
        <v>3906</v>
      </c>
      <c r="G280" t="s">
        <v>4670</v>
      </c>
    </row>
    <row r="281" spans="1:7" ht="11.25" customHeight="1">
      <c r="A281" s="301" t="s">
        <v>14</v>
      </c>
      <c r="B281" t="s">
        <v>4659</v>
      </c>
      <c r="C281" t="s">
        <v>4660</v>
      </c>
      <c r="D281" t="s">
        <v>4671</v>
      </c>
      <c r="E281" t="s">
        <v>4672</v>
      </c>
      <c r="F281" t="s">
        <v>3906</v>
      </c>
      <c r="G281" t="s">
        <v>4673</v>
      </c>
    </row>
    <row r="282" spans="1:7" ht="11.25" customHeight="1">
      <c r="A282" s="301" t="s">
        <v>14</v>
      </c>
      <c r="B282" t="s">
        <v>4659</v>
      </c>
      <c r="C282" t="s">
        <v>4660</v>
      </c>
      <c r="D282" t="s">
        <v>4674</v>
      </c>
      <c r="E282" t="s">
        <v>4675</v>
      </c>
      <c r="F282" t="s">
        <v>3906</v>
      </c>
      <c r="G282" t="s">
        <v>4676</v>
      </c>
    </row>
    <row r="283" spans="1:7" ht="11.25" customHeight="1">
      <c r="A283" s="301" t="s">
        <v>14</v>
      </c>
      <c r="B283" t="s">
        <v>4659</v>
      </c>
      <c r="C283" t="s">
        <v>4660</v>
      </c>
      <c r="D283" t="s">
        <v>4677</v>
      </c>
      <c r="E283" t="s">
        <v>4678</v>
      </c>
      <c r="F283" t="s">
        <v>3906</v>
      </c>
      <c r="G283" t="s">
        <v>4679</v>
      </c>
    </row>
    <row r="284" spans="1:7" ht="11.25" customHeight="1">
      <c r="A284" s="301" t="s">
        <v>14</v>
      </c>
      <c r="B284" t="s">
        <v>4659</v>
      </c>
      <c r="C284" t="s">
        <v>4660</v>
      </c>
      <c r="D284" t="s">
        <v>4680</v>
      </c>
      <c r="E284" t="s">
        <v>4681</v>
      </c>
      <c r="F284" t="s">
        <v>3906</v>
      </c>
      <c r="G284" t="s">
        <v>4682</v>
      </c>
    </row>
    <row r="285" spans="1:7" ht="11.25" customHeight="1">
      <c r="A285" s="301" t="s">
        <v>14</v>
      </c>
      <c r="B285" t="s">
        <v>4659</v>
      </c>
      <c r="C285" t="s">
        <v>4660</v>
      </c>
      <c r="D285" t="s">
        <v>4683</v>
      </c>
      <c r="E285" t="s">
        <v>4684</v>
      </c>
      <c r="F285" t="s">
        <v>3906</v>
      </c>
      <c r="G285" t="s">
        <v>4685</v>
      </c>
    </row>
    <row r="286" spans="1:7" ht="11.25" customHeight="1">
      <c r="A286" s="301" t="s">
        <v>14</v>
      </c>
      <c r="B286" t="s">
        <v>4659</v>
      </c>
      <c r="C286" t="s">
        <v>4660</v>
      </c>
      <c r="D286" t="s">
        <v>4686</v>
      </c>
      <c r="E286" t="s">
        <v>4687</v>
      </c>
      <c r="F286" t="s">
        <v>3906</v>
      </c>
      <c r="G286" t="s">
        <v>4688</v>
      </c>
    </row>
    <row r="287" spans="1:7" ht="11.25" customHeight="1">
      <c r="A287" s="301" t="s">
        <v>14</v>
      </c>
      <c r="B287" t="s">
        <v>4659</v>
      </c>
      <c r="C287" t="s">
        <v>4660</v>
      </c>
      <c r="D287" t="s">
        <v>4689</v>
      </c>
      <c r="E287" t="s">
        <v>4690</v>
      </c>
      <c r="F287" t="s">
        <v>3906</v>
      </c>
      <c r="G287" t="s">
        <v>4691</v>
      </c>
    </row>
    <row r="288" spans="1:7" ht="11.25" customHeight="1">
      <c r="A288" s="301" t="s">
        <v>14</v>
      </c>
      <c r="B288" t="s">
        <v>4659</v>
      </c>
      <c r="C288" t="s">
        <v>4660</v>
      </c>
      <c r="D288" t="s">
        <v>4692</v>
      </c>
      <c r="E288" t="s">
        <v>4693</v>
      </c>
      <c r="F288" t="s">
        <v>3906</v>
      </c>
      <c r="G288" t="s">
        <v>4694</v>
      </c>
    </row>
    <row r="289" spans="1:7" ht="11.25" customHeight="1">
      <c r="A289" s="301" t="s">
        <v>14</v>
      </c>
      <c r="B289" t="s">
        <v>4659</v>
      </c>
      <c r="C289" t="s">
        <v>4660</v>
      </c>
      <c r="D289" t="s">
        <v>4695</v>
      </c>
      <c r="E289" t="s">
        <v>4696</v>
      </c>
      <c r="F289" t="s">
        <v>3906</v>
      </c>
      <c r="G289" t="s">
        <v>4697</v>
      </c>
    </row>
    <row r="290" spans="1:7" ht="11.25" customHeight="1">
      <c r="A290" s="301" t="s">
        <v>14</v>
      </c>
      <c r="B290" t="s">
        <v>4659</v>
      </c>
      <c r="C290" t="s">
        <v>4660</v>
      </c>
      <c r="D290" t="s">
        <v>4698</v>
      </c>
      <c r="E290" t="s">
        <v>4699</v>
      </c>
      <c r="F290" t="s">
        <v>3906</v>
      </c>
      <c r="G290" t="s">
        <v>4700</v>
      </c>
    </row>
    <row r="291" spans="1:7" ht="11.25" customHeight="1">
      <c r="A291" s="301" t="s">
        <v>14</v>
      </c>
      <c r="B291" t="s">
        <v>4659</v>
      </c>
      <c r="C291" t="s">
        <v>4660</v>
      </c>
      <c r="D291" t="s">
        <v>4701</v>
      </c>
      <c r="E291" t="s">
        <v>4702</v>
      </c>
      <c r="F291" t="s">
        <v>3906</v>
      </c>
      <c r="G291" t="s">
        <v>4703</v>
      </c>
    </row>
    <row r="292" spans="1:7" ht="11.25" customHeight="1">
      <c r="A292" s="301" t="s">
        <v>14</v>
      </c>
      <c r="B292" t="s">
        <v>4704</v>
      </c>
      <c r="C292" t="s">
        <v>4705</v>
      </c>
      <c r="D292" t="s">
        <v>4706</v>
      </c>
      <c r="E292" t="s">
        <v>4707</v>
      </c>
      <c r="F292" t="s">
        <v>4512</v>
      </c>
      <c r="G292" t="s">
        <v>4708</v>
      </c>
    </row>
    <row r="293" spans="1:7" ht="11.25" customHeight="1">
      <c r="A293" s="301" t="s">
        <v>14</v>
      </c>
      <c r="B293" t="s">
        <v>4704</v>
      </c>
      <c r="C293" t="s">
        <v>4705</v>
      </c>
      <c r="D293" t="s">
        <v>4709</v>
      </c>
      <c r="E293" t="s">
        <v>4710</v>
      </c>
      <c r="F293" t="s">
        <v>3906</v>
      </c>
      <c r="G293" t="s">
        <v>4711</v>
      </c>
    </row>
    <row r="294" spans="1:7" ht="11.25" customHeight="1">
      <c r="A294" s="301" t="s">
        <v>14</v>
      </c>
      <c r="B294" t="s">
        <v>4704</v>
      </c>
      <c r="C294" t="s">
        <v>4705</v>
      </c>
      <c r="D294" t="s">
        <v>4712</v>
      </c>
      <c r="E294" t="s">
        <v>4713</v>
      </c>
      <c r="F294" t="s">
        <v>3906</v>
      </c>
      <c r="G294" t="s">
        <v>4714</v>
      </c>
    </row>
    <row r="295" spans="1:7" ht="11.25" customHeight="1">
      <c r="A295" s="301" t="s">
        <v>14</v>
      </c>
      <c r="B295" t="s">
        <v>4704</v>
      </c>
      <c r="C295" t="s">
        <v>4705</v>
      </c>
      <c r="D295" t="s">
        <v>4715</v>
      </c>
      <c r="E295" t="s">
        <v>4716</v>
      </c>
      <c r="F295" t="s">
        <v>3906</v>
      </c>
      <c r="G295" t="s">
        <v>4717</v>
      </c>
    </row>
    <row r="296" spans="1:7" ht="11.25" customHeight="1">
      <c r="A296" s="301" t="s">
        <v>14</v>
      </c>
      <c r="B296" t="s">
        <v>4704</v>
      </c>
      <c r="C296" t="s">
        <v>4705</v>
      </c>
      <c r="D296" t="s">
        <v>4718</v>
      </c>
      <c r="E296" t="s">
        <v>4719</v>
      </c>
      <c r="F296" t="s">
        <v>3906</v>
      </c>
      <c r="G296" t="s">
        <v>4720</v>
      </c>
    </row>
    <row r="297" spans="1:7" ht="11.25" customHeight="1">
      <c r="A297" s="301" t="s">
        <v>14</v>
      </c>
      <c r="B297" t="s">
        <v>4704</v>
      </c>
      <c r="C297" t="s">
        <v>4705</v>
      </c>
      <c r="D297" t="s">
        <v>4704</v>
      </c>
      <c r="E297" t="s">
        <v>4705</v>
      </c>
      <c r="F297" t="s">
        <v>3903</v>
      </c>
      <c r="G297" t="s">
        <v>4721</v>
      </c>
    </row>
    <row r="298" spans="1:7" ht="11.25" customHeight="1">
      <c r="A298" s="301" t="s">
        <v>14</v>
      </c>
      <c r="B298" t="s">
        <v>4704</v>
      </c>
      <c r="C298" t="s">
        <v>4705</v>
      </c>
      <c r="D298" t="s">
        <v>4722</v>
      </c>
      <c r="E298" t="s">
        <v>4723</v>
      </c>
      <c r="F298" t="s">
        <v>3906</v>
      </c>
      <c r="G298" t="s">
        <v>4724</v>
      </c>
    </row>
    <row r="299" spans="1:7" ht="11.25" customHeight="1">
      <c r="A299" s="301" t="s">
        <v>14</v>
      </c>
      <c r="B299" t="s">
        <v>4704</v>
      </c>
      <c r="C299" t="s">
        <v>4705</v>
      </c>
      <c r="D299" t="s">
        <v>4725</v>
      </c>
      <c r="E299" t="s">
        <v>4726</v>
      </c>
      <c r="F299" t="s">
        <v>4075</v>
      </c>
      <c r="G299" t="s">
        <v>4727</v>
      </c>
    </row>
    <row r="300" spans="1:7" ht="11.25" customHeight="1">
      <c r="A300" s="301" t="s">
        <v>14</v>
      </c>
      <c r="B300" t="s">
        <v>4704</v>
      </c>
      <c r="C300" t="s">
        <v>4705</v>
      </c>
      <c r="D300" t="s">
        <v>4728</v>
      </c>
      <c r="E300" t="s">
        <v>4729</v>
      </c>
      <c r="F300" t="s">
        <v>3906</v>
      </c>
      <c r="G300" t="s">
        <v>4730</v>
      </c>
    </row>
    <row r="301" spans="1:7" ht="11.25" customHeight="1">
      <c r="A301" s="301" t="s">
        <v>14</v>
      </c>
      <c r="B301" t="s">
        <v>4704</v>
      </c>
      <c r="C301" t="s">
        <v>4705</v>
      </c>
      <c r="D301" t="s">
        <v>4731</v>
      </c>
      <c r="E301" t="s">
        <v>4732</v>
      </c>
      <c r="F301" t="s">
        <v>3906</v>
      </c>
      <c r="G301" t="s">
        <v>4733</v>
      </c>
    </row>
    <row r="302" spans="1:7" ht="11.25" customHeight="1">
      <c r="A302" s="301" t="s">
        <v>14</v>
      </c>
      <c r="B302" t="s">
        <v>4704</v>
      </c>
      <c r="C302" t="s">
        <v>4705</v>
      </c>
      <c r="D302" t="s">
        <v>4734</v>
      </c>
      <c r="E302" t="s">
        <v>4735</v>
      </c>
      <c r="F302" t="s">
        <v>3906</v>
      </c>
      <c r="G302" t="s">
        <v>4736</v>
      </c>
    </row>
    <row r="303" spans="1:7" ht="11.25" customHeight="1">
      <c r="A303" s="301" t="s">
        <v>14</v>
      </c>
      <c r="B303" t="s">
        <v>4704</v>
      </c>
      <c r="C303" t="s">
        <v>4705</v>
      </c>
      <c r="D303" t="s">
        <v>4737</v>
      </c>
      <c r="E303" t="s">
        <v>4738</v>
      </c>
      <c r="F303" t="s">
        <v>3906</v>
      </c>
      <c r="G303" t="s">
        <v>4739</v>
      </c>
    </row>
    <row r="304" spans="1:7" ht="11.25" customHeight="1">
      <c r="A304" s="301" t="s">
        <v>14</v>
      </c>
      <c r="B304" t="s">
        <v>4704</v>
      </c>
      <c r="C304" t="s">
        <v>4705</v>
      </c>
      <c r="D304" t="s">
        <v>4740</v>
      </c>
      <c r="E304" t="s">
        <v>4741</v>
      </c>
      <c r="F304" t="s">
        <v>3906</v>
      </c>
      <c r="G304" t="s">
        <v>4742</v>
      </c>
    </row>
    <row r="305" spans="1:7" ht="11.25" customHeight="1">
      <c r="A305" s="301" t="s">
        <v>14</v>
      </c>
      <c r="B305" t="s">
        <v>4704</v>
      </c>
      <c r="C305" t="s">
        <v>4705</v>
      </c>
      <c r="D305" t="s">
        <v>4743</v>
      </c>
      <c r="E305" t="s">
        <v>4744</v>
      </c>
      <c r="F305" t="s">
        <v>3906</v>
      </c>
      <c r="G305" t="s">
        <v>4745</v>
      </c>
    </row>
    <row r="306" spans="1:7" ht="11.25" customHeight="1">
      <c r="A306" s="301" t="s">
        <v>14</v>
      </c>
      <c r="B306" t="s">
        <v>4704</v>
      </c>
      <c r="C306" t="s">
        <v>4705</v>
      </c>
      <c r="D306" t="s">
        <v>4746</v>
      </c>
      <c r="E306" t="s">
        <v>4747</v>
      </c>
      <c r="F306" t="s">
        <v>3906</v>
      </c>
      <c r="G306" t="s">
        <v>4748</v>
      </c>
    </row>
    <row r="307" spans="1:7" ht="11.25" customHeight="1">
      <c r="A307" s="301" t="s">
        <v>14</v>
      </c>
      <c r="B307" t="s">
        <v>4749</v>
      </c>
      <c r="C307" t="s">
        <v>4750</v>
      </c>
      <c r="D307" t="s">
        <v>4751</v>
      </c>
      <c r="E307" t="s">
        <v>4752</v>
      </c>
      <c r="F307" t="s">
        <v>3906</v>
      </c>
      <c r="G307" t="s">
        <v>4753</v>
      </c>
    </row>
    <row r="308" spans="1:7" ht="11.25" customHeight="1">
      <c r="A308" s="301" t="s">
        <v>14</v>
      </c>
      <c r="B308" t="s">
        <v>4749</v>
      </c>
      <c r="C308" t="s">
        <v>4750</v>
      </c>
      <c r="D308" t="s">
        <v>4754</v>
      </c>
      <c r="E308" t="s">
        <v>4755</v>
      </c>
      <c r="F308" t="s">
        <v>3906</v>
      </c>
      <c r="G308" t="s">
        <v>4756</v>
      </c>
    </row>
    <row r="309" spans="1:7" ht="11.25" customHeight="1">
      <c r="A309" s="301" t="s">
        <v>14</v>
      </c>
      <c r="B309" t="s">
        <v>4749</v>
      </c>
      <c r="C309" t="s">
        <v>4750</v>
      </c>
      <c r="D309" t="s">
        <v>4749</v>
      </c>
      <c r="E309" t="s">
        <v>4750</v>
      </c>
      <c r="F309" t="s">
        <v>3903</v>
      </c>
      <c r="G309" t="s">
        <v>4757</v>
      </c>
    </row>
    <row r="310" spans="1:7" ht="11.25" customHeight="1">
      <c r="A310" s="301" t="s">
        <v>14</v>
      </c>
      <c r="B310" t="s">
        <v>4749</v>
      </c>
      <c r="C310" t="s">
        <v>4750</v>
      </c>
      <c r="D310" t="s">
        <v>4758</v>
      </c>
      <c r="E310" t="s">
        <v>4759</v>
      </c>
      <c r="F310" t="s">
        <v>3906</v>
      </c>
      <c r="G310" t="s">
        <v>4760</v>
      </c>
    </row>
    <row r="311" spans="1:7" ht="11.25" customHeight="1">
      <c r="A311" s="301" t="s">
        <v>14</v>
      </c>
      <c r="B311" t="s">
        <v>4749</v>
      </c>
      <c r="C311" t="s">
        <v>4750</v>
      </c>
      <c r="D311" t="s">
        <v>4761</v>
      </c>
      <c r="E311" t="s">
        <v>4762</v>
      </c>
      <c r="F311" t="s">
        <v>3906</v>
      </c>
      <c r="G311" t="s">
        <v>4763</v>
      </c>
    </row>
    <row r="312" spans="1:7" ht="11.25" customHeight="1">
      <c r="A312" s="301" t="s">
        <v>14</v>
      </c>
      <c r="B312" t="s">
        <v>4749</v>
      </c>
      <c r="C312" t="s">
        <v>4750</v>
      </c>
      <c r="D312" t="s">
        <v>4764</v>
      </c>
      <c r="E312" t="s">
        <v>4765</v>
      </c>
      <c r="F312" t="s">
        <v>3984</v>
      </c>
      <c r="G312" t="s">
        <v>4766</v>
      </c>
    </row>
    <row r="313" spans="1:7" ht="11.25" customHeight="1">
      <c r="A313" s="301" t="s">
        <v>14</v>
      </c>
      <c r="B313" t="s">
        <v>4749</v>
      </c>
      <c r="C313" t="s">
        <v>4750</v>
      </c>
      <c r="D313" t="s">
        <v>4767</v>
      </c>
      <c r="E313" t="s">
        <v>4768</v>
      </c>
      <c r="F313" t="s">
        <v>3906</v>
      </c>
      <c r="G313" t="s">
        <v>4769</v>
      </c>
    </row>
    <row r="314" spans="1:7" ht="11.25" customHeight="1">
      <c r="A314" s="301" t="s">
        <v>14</v>
      </c>
      <c r="B314" t="s">
        <v>4749</v>
      </c>
      <c r="C314" t="s">
        <v>4750</v>
      </c>
      <c r="D314" t="s">
        <v>4770</v>
      </c>
      <c r="E314" t="s">
        <v>4771</v>
      </c>
      <c r="F314" t="s">
        <v>3984</v>
      </c>
      <c r="G314" t="s">
        <v>4772</v>
      </c>
    </row>
    <row r="315" spans="1:7" ht="11.25" customHeight="1">
      <c r="A315" s="301" t="s">
        <v>14</v>
      </c>
      <c r="B315" t="s">
        <v>4773</v>
      </c>
      <c r="C315" t="s">
        <v>4774</v>
      </c>
      <c r="D315" t="s">
        <v>4775</v>
      </c>
      <c r="E315" t="s">
        <v>4776</v>
      </c>
      <c r="F315" t="s">
        <v>3906</v>
      </c>
      <c r="G315" t="s">
        <v>4777</v>
      </c>
    </row>
    <row r="316" spans="1:7" ht="11.25" customHeight="1">
      <c r="A316" s="301" t="s">
        <v>14</v>
      </c>
      <c r="B316" t="s">
        <v>4773</v>
      </c>
      <c r="C316" t="s">
        <v>4774</v>
      </c>
      <c r="D316" t="s">
        <v>4778</v>
      </c>
      <c r="E316" t="s">
        <v>4779</v>
      </c>
      <c r="F316" t="s">
        <v>3906</v>
      </c>
      <c r="G316" t="s">
        <v>4780</v>
      </c>
    </row>
    <row r="317" spans="1:7" ht="11.25" customHeight="1">
      <c r="A317" s="301" t="s">
        <v>14</v>
      </c>
      <c r="B317" t="s">
        <v>4773</v>
      </c>
      <c r="C317" t="s">
        <v>4774</v>
      </c>
      <c r="D317" t="s">
        <v>4781</v>
      </c>
      <c r="E317" t="s">
        <v>4782</v>
      </c>
      <c r="F317" t="s">
        <v>3906</v>
      </c>
      <c r="G317" t="s">
        <v>4783</v>
      </c>
    </row>
    <row r="318" spans="1:7" ht="11.25" customHeight="1">
      <c r="A318" s="301" t="s">
        <v>14</v>
      </c>
      <c r="B318" t="s">
        <v>4773</v>
      </c>
      <c r="C318" t="s">
        <v>4774</v>
      </c>
      <c r="D318" t="s">
        <v>4773</v>
      </c>
      <c r="E318" t="s">
        <v>4774</v>
      </c>
      <c r="F318" t="s">
        <v>3903</v>
      </c>
      <c r="G318" t="s">
        <v>4784</v>
      </c>
    </row>
    <row r="319" spans="1:7" ht="11.25" customHeight="1">
      <c r="A319" s="301" t="s">
        <v>14</v>
      </c>
      <c r="B319" t="s">
        <v>4773</v>
      </c>
      <c r="C319" t="s">
        <v>4774</v>
      </c>
      <c r="D319" t="s">
        <v>4785</v>
      </c>
      <c r="E319" t="s">
        <v>4786</v>
      </c>
      <c r="F319" t="s">
        <v>3906</v>
      </c>
      <c r="G319" t="s">
        <v>4787</v>
      </c>
    </row>
    <row r="320" spans="1:7" ht="11.25" customHeight="1">
      <c r="A320" s="301" t="s">
        <v>14</v>
      </c>
      <c r="B320" t="s">
        <v>4773</v>
      </c>
      <c r="C320" t="s">
        <v>4774</v>
      </c>
      <c r="D320" t="s">
        <v>4788</v>
      </c>
      <c r="E320" t="s">
        <v>4789</v>
      </c>
      <c r="F320" t="s">
        <v>3906</v>
      </c>
      <c r="G320" t="s">
        <v>4790</v>
      </c>
    </row>
    <row r="321" spans="1:7" ht="11.25" customHeight="1">
      <c r="A321" s="301" t="s">
        <v>14</v>
      </c>
      <c r="B321" t="s">
        <v>4773</v>
      </c>
      <c r="C321" t="s">
        <v>4774</v>
      </c>
      <c r="D321" t="s">
        <v>4791</v>
      </c>
      <c r="E321" t="s">
        <v>4792</v>
      </c>
      <c r="F321" t="s">
        <v>3906</v>
      </c>
      <c r="G321" t="s">
        <v>4793</v>
      </c>
    </row>
    <row r="322" spans="1:7" ht="11.25" customHeight="1">
      <c r="A322" s="301" t="s">
        <v>14</v>
      </c>
      <c r="B322" t="s">
        <v>4773</v>
      </c>
      <c r="C322" t="s">
        <v>4774</v>
      </c>
      <c r="D322" t="s">
        <v>4412</v>
      </c>
      <c r="E322" t="s">
        <v>4794</v>
      </c>
      <c r="F322" t="s">
        <v>3906</v>
      </c>
      <c r="G322" t="s">
        <v>4795</v>
      </c>
    </row>
    <row r="323" spans="1:7" ht="11.25" customHeight="1">
      <c r="A323" s="301" t="s">
        <v>14</v>
      </c>
      <c r="B323" t="s">
        <v>4773</v>
      </c>
      <c r="C323" t="s">
        <v>4774</v>
      </c>
      <c r="D323" t="s">
        <v>4796</v>
      </c>
      <c r="E323" t="s">
        <v>4797</v>
      </c>
      <c r="F323" t="s">
        <v>3906</v>
      </c>
      <c r="G323" t="s">
        <v>4798</v>
      </c>
    </row>
    <row r="324" spans="1:7" ht="11.25" customHeight="1">
      <c r="A324" s="301" t="s">
        <v>14</v>
      </c>
      <c r="B324" t="s">
        <v>4773</v>
      </c>
      <c r="C324" t="s">
        <v>4774</v>
      </c>
      <c r="D324" t="s">
        <v>4799</v>
      </c>
      <c r="E324" t="s">
        <v>4800</v>
      </c>
      <c r="F324" t="s">
        <v>3906</v>
      </c>
      <c r="G324" t="s">
        <v>4801</v>
      </c>
    </row>
    <row r="325" spans="1:7" ht="11.25" customHeight="1">
      <c r="A325" s="301" t="s">
        <v>14</v>
      </c>
      <c r="B325" t="s">
        <v>4802</v>
      </c>
      <c r="C325" t="s">
        <v>4803</v>
      </c>
      <c r="D325" t="s">
        <v>4804</v>
      </c>
      <c r="E325" t="s">
        <v>4805</v>
      </c>
      <c r="F325" t="s">
        <v>3906</v>
      </c>
      <c r="G325" t="s">
        <v>4806</v>
      </c>
    </row>
    <row r="326" spans="1:7" ht="11.25" customHeight="1">
      <c r="A326" s="301" t="s">
        <v>14</v>
      </c>
      <c r="B326" t="s">
        <v>4802</v>
      </c>
      <c r="C326" t="s">
        <v>4803</v>
      </c>
      <c r="D326" t="s">
        <v>4807</v>
      </c>
      <c r="E326" t="s">
        <v>4808</v>
      </c>
      <c r="F326" t="s">
        <v>3906</v>
      </c>
      <c r="G326" t="s">
        <v>4809</v>
      </c>
    </row>
    <row r="327" spans="1:7" ht="11.25" customHeight="1">
      <c r="A327" s="301" t="s">
        <v>14</v>
      </c>
      <c r="B327" t="s">
        <v>4802</v>
      </c>
      <c r="C327" t="s">
        <v>4803</v>
      </c>
      <c r="D327" t="s">
        <v>4810</v>
      </c>
      <c r="E327" t="s">
        <v>4811</v>
      </c>
      <c r="F327" t="s">
        <v>3906</v>
      </c>
      <c r="G327" t="s">
        <v>4812</v>
      </c>
    </row>
    <row r="328" spans="1:7" ht="11.25" customHeight="1">
      <c r="A328" s="301" t="s">
        <v>14</v>
      </c>
      <c r="B328" t="s">
        <v>4802</v>
      </c>
      <c r="C328" t="s">
        <v>4803</v>
      </c>
      <c r="D328" t="s">
        <v>4813</v>
      </c>
      <c r="E328" t="s">
        <v>4814</v>
      </c>
      <c r="F328" t="s">
        <v>3906</v>
      </c>
      <c r="G328" t="s">
        <v>4815</v>
      </c>
    </row>
    <row r="329" spans="1:7" ht="11.25" customHeight="1">
      <c r="A329" s="301" t="s">
        <v>14</v>
      </c>
      <c r="B329" t="s">
        <v>4802</v>
      </c>
      <c r="C329" t="s">
        <v>4803</v>
      </c>
      <c r="D329" t="s">
        <v>4816</v>
      </c>
      <c r="E329" t="s">
        <v>4817</v>
      </c>
      <c r="F329" t="s">
        <v>3906</v>
      </c>
      <c r="G329" t="s">
        <v>4818</v>
      </c>
    </row>
    <row r="330" spans="1:7" ht="11.25" customHeight="1">
      <c r="A330" s="301" t="s">
        <v>14</v>
      </c>
      <c r="B330" t="s">
        <v>4802</v>
      </c>
      <c r="C330" t="s">
        <v>4803</v>
      </c>
      <c r="D330" t="s">
        <v>4819</v>
      </c>
      <c r="E330" t="s">
        <v>4820</v>
      </c>
      <c r="F330" t="s">
        <v>3906</v>
      </c>
      <c r="G330" t="s">
        <v>4821</v>
      </c>
    </row>
    <row r="331" spans="1:7" ht="11.25" customHeight="1">
      <c r="A331" s="301" t="s">
        <v>14</v>
      </c>
      <c r="B331" t="s">
        <v>4802</v>
      </c>
      <c r="C331" t="s">
        <v>4803</v>
      </c>
      <c r="D331" t="s">
        <v>4822</v>
      </c>
      <c r="E331" t="s">
        <v>4823</v>
      </c>
      <c r="F331" t="s">
        <v>3906</v>
      </c>
      <c r="G331" t="s">
        <v>4824</v>
      </c>
    </row>
    <row r="332" spans="1:7" ht="11.25" customHeight="1">
      <c r="A332" s="301" t="s">
        <v>14</v>
      </c>
      <c r="B332" t="s">
        <v>4802</v>
      </c>
      <c r="C332" t="s">
        <v>4803</v>
      </c>
      <c r="D332" t="s">
        <v>4802</v>
      </c>
      <c r="E332" t="s">
        <v>4803</v>
      </c>
      <c r="F332" t="s">
        <v>3903</v>
      </c>
      <c r="G332" t="s">
        <v>4825</v>
      </c>
    </row>
    <row r="333" spans="1:7" ht="11.25" customHeight="1">
      <c r="A333" s="301" t="s">
        <v>14</v>
      </c>
      <c r="B333" t="s">
        <v>4802</v>
      </c>
      <c r="C333" t="s">
        <v>4803</v>
      </c>
      <c r="D333" t="s">
        <v>4826</v>
      </c>
      <c r="E333" t="s">
        <v>4827</v>
      </c>
      <c r="F333" t="s">
        <v>3906</v>
      </c>
      <c r="G333" t="s">
        <v>4828</v>
      </c>
    </row>
    <row r="334" spans="1:7" ht="11.25" customHeight="1">
      <c r="A334" s="301" t="s">
        <v>14</v>
      </c>
      <c r="B334" t="s">
        <v>4802</v>
      </c>
      <c r="C334" t="s">
        <v>4803</v>
      </c>
      <c r="D334" t="s">
        <v>4829</v>
      </c>
      <c r="E334" t="s">
        <v>4830</v>
      </c>
      <c r="F334" t="s">
        <v>3906</v>
      </c>
      <c r="G334" t="s">
        <v>4831</v>
      </c>
    </row>
    <row r="335" spans="1:7" ht="11.25" customHeight="1">
      <c r="A335" s="301" t="s">
        <v>14</v>
      </c>
      <c r="B335" t="s">
        <v>4802</v>
      </c>
      <c r="C335" t="s">
        <v>4803</v>
      </c>
      <c r="D335" t="s">
        <v>4832</v>
      </c>
      <c r="E335" t="s">
        <v>4833</v>
      </c>
      <c r="F335" t="s">
        <v>3906</v>
      </c>
      <c r="G335" t="s">
        <v>4834</v>
      </c>
    </row>
    <row r="336" spans="1:7" ht="11.25" customHeight="1">
      <c r="A336" s="301" t="s">
        <v>14</v>
      </c>
      <c r="B336" t="s">
        <v>4802</v>
      </c>
      <c r="C336" t="s">
        <v>4803</v>
      </c>
      <c r="D336" t="s">
        <v>4835</v>
      </c>
      <c r="E336" t="s">
        <v>4836</v>
      </c>
      <c r="F336" t="s">
        <v>3906</v>
      </c>
      <c r="G336" t="s">
        <v>4837</v>
      </c>
    </row>
    <row r="337" spans="1:7" ht="11.25" customHeight="1">
      <c r="A337" s="301" t="s">
        <v>14</v>
      </c>
      <c r="B337" t="s">
        <v>4802</v>
      </c>
      <c r="C337" t="s">
        <v>4803</v>
      </c>
      <c r="D337" t="s">
        <v>4838</v>
      </c>
      <c r="E337" t="s">
        <v>4839</v>
      </c>
      <c r="F337" t="s">
        <v>3906</v>
      </c>
      <c r="G337" t="s">
        <v>4840</v>
      </c>
    </row>
    <row r="338" spans="1:7" ht="11.25" customHeight="1">
      <c r="A338" s="301" t="s">
        <v>14</v>
      </c>
      <c r="B338" t="s">
        <v>4802</v>
      </c>
      <c r="C338" t="s">
        <v>4803</v>
      </c>
      <c r="D338" t="s">
        <v>4841</v>
      </c>
      <c r="E338" t="s">
        <v>4842</v>
      </c>
      <c r="F338" t="s">
        <v>3984</v>
      </c>
      <c r="G338" t="s">
        <v>4843</v>
      </c>
    </row>
    <row r="339" spans="1:7" ht="11.25" customHeight="1">
      <c r="A339" s="301" t="s">
        <v>14</v>
      </c>
      <c r="B339" t="s">
        <v>4802</v>
      </c>
      <c r="C339" t="s">
        <v>4803</v>
      </c>
      <c r="D339" t="s">
        <v>4844</v>
      </c>
      <c r="E339" t="s">
        <v>4845</v>
      </c>
      <c r="F339" t="s">
        <v>3984</v>
      </c>
      <c r="G339" t="s">
        <v>4846</v>
      </c>
    </row>
    <row r="340" spans="1:7" ht="11.25" customHeight="1">
      <c r="A340" s="301" t="s">
        <v>14</v>
      </c>
      <c r="B340" t="s">
        <v>4802</v>
      </c>
      <c r="C340" t="s">
        <v>4803</v>
      </c>
      <c r="D340" t="s">
        <v>4847</v>
      </c>
      <c r="E340" t="s">
        <v>4848</v>
      </c>
      <c r="F340" t="s">
        <v>3906</v>
      </c>
      <c r="G340" t="s">
        <v>4849</v>
      </c>
    </row>
    <row r="341" spans="1:7" ht="11.25" customHeight="1">
      <c r="A341" s="301" t="s">
        <v>14</v>
      </c>
      <c r="B341" t="s">
        <v>4802</v>
      </c>
      <c r="C341" t="s">
        <v>4803</v>
      </c>
      <c r="D341" t="s">
        <v>4850</v>
      </c>
      <c r="E341" t="s">
        <v>4851</v>
      </c>
      <c r="F341" t="s">
        <v>3906</v>
      </c>
      <c r="G341" t="s">
        <v>4852</v>
      </c>
    </row>
    <row r="342" spans="1:7" ht="11.25" customHeight="1">
      <c r="A342" s="301" t="s">
        <v>14</v>
      </c>
      <c r="B342" t="s">
        <v>4802</v>
      </c>
      <c r="C342" t="s">
        <v>4803</v>
      </c>
      <c r="D342" t="s">
        <v>4853</v>
      </c>
      <c r="E342" t="s">
        <v>4854</v>
      </c>
      <c r="F342" t="s">
        <v>3906</v>
      </c>
      <c r="G342" t="s">
        <v>4855</v>
      </c>
    </row>
    <row r="343" spans="1:7" ht="11.25" customHeight="1">
      <c r="A343" s="301" t="s">
        <v>14</v>
      </c>
      <c r="B343" t="s">
        <v>4802</v>
      </c>
      <c r="C343" t="s">
        <v>4803</v>
      </c>
      <c r="D343" t="s">
        <v>4856</v>
      </c>
      <c r="E343" t="s">
        <v>4857</v>
      </c>
      <c r="F343" t="s">
        <v>3906</v>
      </c>
      <c r="G343" t="s">
        <v>4858</v>
      </c>
    </row>
    <row r="344" spans="1:7" ht="11.25" customHeight="1">
      <c r="A344" s="301" t="s">
        <v>14</v>
      </c>
      <c r="B344" t="s">
        <v>4802</v>
      </c>
      <c r="C344" t="s">
        <v>4803</v>
      </c>
      <c r="D344" t="s">
        <v>4859</v>
      </c>
      <c r="E344" t="s">
        <v>4860</v>
      </c>
      <c r="F344" t="s">
        <v>3906</v>
      </c>
      <c r="G344" t="s">
        <v>4861</v>
      </c>
    </row>
    <row r="345" spans="1:7" ht="11.25" customHeight="1">
      <c r="A345" s="301" t="s">
        <v>14</v>
      </c>
      <c r="B345" t="s">
        <v>4802</v>
      </c>
      <c r="C345" t="s">
        <v>4803</v>
      </c>
      <c r="D345" t="s">
        <v>4862</v>
      </c>
      <c r="E345" t="s">
        <v>4863</v>
      </c>
      <c r="F345" t="s">
        <v>4512</v>
      </c>
      <c r="G345" t="s">
        <v>4864</v>
      </c>
    </row>
    <row r="346" spans="1:7" ht="11.25" customHeight="1">
      <c r="A346" s="301" t="s">
        <v>14</v>
      </c>
      <c r="B346" t="s">
        <v>4802</v>
      </c>
      <c r="C346" t="s">
        <v>4803</v>
      </c>
      <c r="D346" t="s">
        <v>4865</v>
      </c>
      <c r="E346" t="s">
        <v>4866</v>
      </c>
      <c r="F346" t="s">
        <v>3984</v>
      </c>
      <c r="G346" t="s">
        <v>4867</v>
      </c>
    </row>
    <row r="347" spans="1:7" ht="11.25" customHeight="1">
      <c r="A347" s="301" t="s">
        <v>14</v>
      </c>
      <c r="B347" t="s">
        <v>4802</v>
      </c>
      <c r="C347" t="s">
        <v>4803</v>
      </c>
      <c r="D347" t="s">
        <v>4868</v>
      </c>
      <c r="E347" t="s">
        <v>4869</v>
      </c>
      <c r="F347" t="s">
        <v>3984</v>
      </c>
      <c r="G347" t="s">
        <v>4870</v>
      </c>
    </row>
    <row r="348" spans="1:7" ht="11.25" customHeight="1">
      <c r="A348" s="301" t="s">
        <v>14</v>
      </c>
      <c r="B348" t="s">
        <v>4802</v>
      </c>
      <c r="C348" t="s">
        <v>4803</v>
      </c>
      <c r="D348" t="s">
        <v>4871</v>
      </c>
      <c r="E348" t="s">
        <v>4872</v>
      </c>
      <c r="F348" t="s">
        <v>3984</v>
      </c>
      <c r="G348" t="s">
        <v>4873</v>
      </c>
    </row>
    <row r="349" spans="1:7" ht="11.25" customHeight="1">
      <c r="A349" s="301" t="s">
        <v>14</v>
      </c>
      <c r="B349" t="s">
        <v>4874</v>
      </c>
      <c r="C349" t="s">
        <v>4875</v>
      </c>
      <c r="D349" t="s">
        <v>4876</v>
      </c>
      <c r="E349" t="s">
        <v>4877</v>
      </c>
      <c r="F349" t="s">
        <v>3906</v>
      </c>
      <c r="G349" t="s">
        <v>4878</v>
      </c>
    </row>
    <row r="350" spans="1:7" ht="11.25" customHeight="1">
      <c r="A350" s="301" t="s">
        <v>14</v>
      </c>
      <c r="B350" t="s">
        <v>4874</v>
      </c>
      <c r="C350" t="s">
        <v>4875</v>
      </c>
      <c r="D350" t="s">
        <v>4879</v>
      </c>
      <c r="E350" t="s">
        <v>4880</v>
      </c>
      <c r="F350" t="s">
        <v>3906</v>
      </c>
      <c r="G350" t="s">
        <v>4881</v>
      </c>
    </row>
    <row r="351" spans="1:7" ht="11.25" customHeight="1">
      <c r="A351" s="301" t="s">
        <v>14</v>
      </c>
      <c r="B351" t="s">
        <v>4874</v>
      </c>
      <c r="C351" t="s">
        <v>4875</v>
      </c>
      <c r="D351" t="s">
        <v>4882</v>
      </c>
      <c r="E351" t="s">
        <v>4883</v>
      </c>
      <c r="F351" t="s">
        <v>3906</v>
      </c>
      <c r="G351" t="s">
        <v>4884</v>
      </c>
    </row>
    <row r="352" spans="1:7" ht="11.25" customHeight="1">
      <c r="A352" s="301" t="s">
        <v>14</v>
      </c>
      <c r="B352" t="s">
        <v>4874</v>
      </c>
      <c r="C352" t="s">
        <v>4875</v>
      </c>
      <c r="D352" t="s">
        <v>4885</v>
      </c>
      <c r="E352" t="s">
        <v>4886</v>
      </c>
      <c r="F352" t="s">
        <v>3906</v>
      </c>
      <c r="G352" t="s">
        <v>4887</v>
      </c>
    </row>
    <row r="353" spans="1:7" ht="11.25" customHeight="1">
      <c r="A353" s="301" t="s">
        <v>14</v>
      </c>
      <c r="B353" t="s">
        <v>4874</v>
      </c>
      <c r="C353" t="s">
        <v>4875</v>
      </c>
      <c r="D353" t="s">
        <v>4888</v>
      </c>
      <c r="E353" t="s">
        <v>4889</v>
      </c>
      <c r="F353" t="s">
        <v>3906</v>
      </c>
      <c r="G353" t="s">
        <v>4890</v>
      </c>
    </row>
    <row r="354" spans="1:7" ht="11.25" customHeight="1">
      <c r="A354" s="301" t="s">
        <v>14</v>
      </c>
      <c r="B354" t="s">
        <v>4874</v>
      </c>
      <c r="C354" t="s">
        <v>4875</v>
      </c>
      <c r="D354" t="s">
        <v>4874</v>
      </c>
      <c r="E354" t="s">
        <v>4875</v>
      </c>
      <c r="F354" t="s">
        <v>3903</v>
      </c>
      <c r="G354" t="s">
        <v>4891</v>
      </c>
    </row>
    <row r="355" spans="1:7" ht="11.25" customHeight="1">
      <c r="A355" s="301" t="s">
        <v>14</v>
      </c>
      <c r="B355" t="s">
        <v>4874</v>
      </c>
      <c r="C355" t="s">
        <v>4875</v>
      </c>
      <c r="D355" t="s">
        <v>4892</v>
      </c>
      <c r="E355" t="s">
        <v>4893</v>
      </c>
      <c r="F355" t="s">
        <v>3906</v>
      </c>
      <c r="G355" t="s">
        <v>4894</v>
      </c>
    </row>
    <row r="356" spans="1:7" ht="11.25" customHeight="1">
      <c r="A356" s="301" t="s">
        <v>14</v>
      </c>
      <c r="B356" t="s">
        <v>4874</v>
      </c>
      <c r="C356" t="s">
        <v>4875</v>
      </c>
      <c r="D356" t="s">
        <v>4895</v>
      </c>
      <c r="E356" t="s">
        <v>4896</v>
      </c>
      <c r="F356" t="s">
        <v>3906</v>
      </c>
      <c r="G356" t="s">
        <v>4897</v>
      </c>
    </row>
    <row r="357" spans="1:7" ht="11.25" customHeight="1">
      <c r="A357" s="301" t="s">
        <v>14</v>
      </c>
      <c r="B357" t="s">
        <v>4874</v>
      </c>
      <c r="C357" t="s">
        <v>4875</v>
      </c>
      <c r="D357" t="s">
        <v>4898</v>
      </c>
      <c r="E357" t="s">
        <v>4899</v>
      </c>
      <c r="F357" t="s">
        <v>3906</v>
      </c>
      <c r="G357" t="s">
        <v>4900</v>
      </c>
    </row>
    <row r="358" spans="1:7" ht="11.25" customHeight="1">
      <c r="A358" s="301" t="s">
        <v>14</v>
      </c>
      <c r="B358" t="s">
        <v>4874</v>
      </c>
      <c r="C358" t="s">
        <v>4875</v>
      </c>
      <c r="D358" t="s">
        <v>4901</v>
      </c>
      <c r="E358" t="s">
        <v>4902</v>
      </c>
      <c r="F358" t="s">
        <v>3906</v>
      </c>
      <c r="G358" t="s">
        <v>4903</v>
      </c>
    </row>
    <row r="359" spans="1:7" ht="11.25" customHeight="1">
      <c r="A359" s="301" t="s">
        <v>14</v>
      </c>
      <c r="B359" t="s">
        <v>4874</v>
      </c>
      <c r="C359" t="s">
        <v>4875</v>
      </c>
      <c r="D359" t="s">
        <v>4904</v>
      </c>
      <c r="E359" t="s">
        <v>4905</v>
      </c>
      <c r="F359" t="s">
        <v>3906</v>
      </c>
      <c r="G359" t="s">
        <v>4906</v>
      </c>
    </row>
    <row r="360" spans="1:7" ht="11.25" customHeight="1">
      <c r="A360" s="301" t="s">
        <v>14</v>
      </c>
      <c r="B360" t="s">
        <v>4874</v>
      </c>
      <c r="C360" t="s">
        <v>4875</v>
      </c>
      <c r="D360" t="s">
        <v>4907</v>
      </c>
      <c r="E360" t="s">
        <v>4908</v>
      </c>
      <c r="F360" t="s">
        <v>3906</v>
      </c>
      <c r="G360" t="s">
        <v>4909</v>
      </c>
    </row>
    <row r="361" spans="1:7" ht="11.25" customHeight="1">
      <c r="A361" s="301" t="s">
        <v>14</v>
      </c>
      <c r="B361" t="s">
        <v>4910</v>
      </c>
      <c r="C361" t="s">
        <v>4911</v>
      </c>
      <c r="D361" t="s">
        <v>4912</v>
      </c>
      <c r="E361" t="s">
        <v>4913</v>
      </c>
      <c r="F361" t="s">
        <v>3906</v>
      </c>
      <c r="G361" t="s">
        <v>4914</v>
      </c>
    </row>
    <row r="362" spans="1:7" ht="11.25" customHeight="1">
      <c r="A362" s="301" t="s">
        <v>14</v>
      </c>
      <c r="B362" t="s">
        <v>4910</v>
      </c>
      <c r="C362" t="s">
        <v>4911</v>
      </c>
      <c r="D362" t="s">
        <v>4915</v>
      </c>
      <c r="E362" t="s">
        <v>4916</v>
      </c>
      <c r="F362" t="s">
        <v>3906</v>
      </c>
      <c r="G362" t="s">
        <v>4917</v>
      </c>
    </row>
    <row r="363" spans="1:7" ht="11.25" customHeight="1">
      <c r="A363" s="301" t="s">
        <v>14</v>
      </c>
      <c r="B363" t="s">
        <v>4910</v>
      </c>
      <c r="C363" t="s">
        <v>4911</v>
      </c>
      <c r="D363" t="s">
        <v>4918</v>
      </c>
      <c r="E363" t="s">
        <v>4919</v>
      </c>
      <c r="F363" t="s">
        <v>3906</v>
      </c>
      <c r="G363" t="s">
        <v>4920</v>
      </c>
    </row>
    <row r="364" spans="1:7" ht="11.25" customHeight="1">
      <c r="A364" s="301" t="s">
        <v>14</v>
      </c>
      <c r="B364" t="s">
        <v>4910</v>
      </c>
      <c r="C364" t="s">
        <v>4911</v>
      </c>
      <c r="D364" t="s">
        <v>4921</v>
      </c>
      <c r="E364" t="s">
        <v>4922</v>
      </c>
      <c r="F364" t="s">
        <v>3906</v>
      </c>
      <c r="G364" t="s">
        <v>4923</v>
      </c>
    </row>
    <row r="365" spans="1:7" ht="11.25" customHeight="1">
      <c r="A365" s="301" t="s">
        <v>14</v>
      </c>
      <c r="B365" t="s">
        <v>4910</v>
      </c>
      <c r="C365" t="s">
        <v>4911</v>
      </c>
      <c r="D365" t="s">
        <v>4924</v>
      </c>
      <c r="E365" t="s">
        <v>4925</v>
      </c>
      <c r="F365" t="s">
        <v>3906</v>
      </c>
      <c r="G365" t="s">
        <v>4926</v>
      </c>
    </row>
    <row r="366" spans="1:7" ht="11.25" customHeight="1">
      <c r="A366" s="301" t="s">
        <v>14</v>
      </c>
      <c r="B366" t="s">
        <v>4910</v>
      </c>
      <c r="C366" t="s">
        <v>4911</v>
      </c>
      <c r="D366" t="s">
        <v>4927</v>
      </c>
      <c r="E366" t="s">
        <v>4928</v>
      </c>
      <c r="F366" t="s">
        <v>3906</v>
      </c>
      <c r="G366" t="s">
        <v>4929</v>
      </c>
    </row>
    <row r="367" spans="1:7" ht="11.25" customHeight="1">
      <c r="A367" s="301" t="s">
        <v>14</v>
      </c>
      <c r="B367" t="s">
        <v>4910</v>
      </c>
      <c r="C367" t="s">
        <v>4911</v>
      </c>
      <c r="D367" t="s">
        <v>4930</v>
      </c>
      <c r="E367" t="s">
        <v>4931</v>
      </c>
      <c r="F367" t="s">
        <v>3906</v>
      </c>
      <c r="G367" t="s">
        <v>4932</v>
      </c>
    </row>
    <row r="368" spans="1:7" ht="11.25" customHeight="1">
      <c r="A368" s="301" t="s">
        <v>14</v>
      </c>
      <c r="B368" t="s">
        <v>4910</v>
      </c>
      <c r="C368" t="s">
        <v>4911</v>
      </c>
      <c r="D368" t="s">
        <v>4910</v>
      </c>
      <c r="E368" t="s">
        <v>4911</v>
      </c>
      <c r="F368" t="s">
        <v>3903</v>
      </c>
      <c r="G368" t="s">
        <v>4933</v>
      </c>
    </row>
    <row r="369" spans="1:7" ht="11.25" customHeight="1">
      <c r="A369" s="301" t="s">
        <v>14</v>
      </c>
      <c r="B369" t="s">
        <v>4910</v>
      </c>
      <c r="C369" t="s">
        <v>4911</v>
      </c>
      <c r="D369" t="s">
        <v>4934</v>
      </c>
      <c r="E369" t="s">
        <v>4935</v>
      </c>
      <c r="F369" t="s">
        <v>3906</v>
      </c>
      <c r="G369" t="s">
        <v>4936</v>
      </c>
    </row>
    <row r="370" spans="1:7" ht="11.25" customHeight="1">
      <c r="A370" s="301" t="s">
        <v>14</v>
      </c>
      <c r="B370" t="s">
        <v>4910</v>
      </c>
      <c r="C370" t="s">
        <v>4911</v>
      </c>
      <c r="D370" t="s">
        <v>4937</v>
      </c>
      <c r="E370" t="s">
        <v>4938</v>
      </c>
      <c r="F370" t="s">
        <v>3906</v>
      </c>
      <c r="G370" t="s">
        <v>4939</v>
      </c>
    </row>
    <row r="371" spans="1:7" ht="11.25" customHeight="1">
      <c r="A371" s="301" t="s">
        <v>14</v>
      </c>
      <c r="B371" t="s">
        <v>4910</v>
      </c>
      <c r="C371" t="s">
        <v>4911</v>
      </c>
      <c r="D371" t="s">
        <v>4940</v>
      </c>
      <c r="E371" t="s">
        <v>4941</v>
      </c>
      <c r="F371" t="s">
        <v>3906</v>
      </c>
      <c r="G371" t="s">
        <v>4942</v>
      </c>
    </row>
    <row r="372" spans="1:7" ht="11.25" customHeight="1">
      <c r="A372" s="301" t="s">
        <v>14</v>
      </c>
      <c r="B372" t="s">
        <v>4910</v>
      </c>
      <c r="C372" t="s">
        <v>4911</v>
      </c>
      <c r="D372" t="s">
        <v>4943</v>
      </c>
      <c r="E372" t="s">
        <v>4944</v>
      </c>
      <c r="F372" t="s">
        <v>3906</v>
      </c>
      <c r="G372" t="s">
        <v>4945</v>
      </c>
    </row>
    <row r="373" spans="1:7" ht="11.25" customHeight="1">
      <c r="A373" s="301" t="s">
        <v>14</v>
      </c>
      <c r="B373" t="s">
        <v>4910</v>
      </c>
      <c r="C373" t="s">
        <v>4911</v>
      </c>
      <c r="D373" t="s">
        <v>4946</v>
      </c>
      <c r="E373" t="s">
        <v>4947</v>
      </c>
      <c r="F373" t="s">
        <v>3906</v>
      </c>
      <c r="G373" t="s">
        <v>4948</v>
      </c>
    </row>
    <row r="374" spans="1:7" ht="11.25" customHeight="1">
      <c r="A374" s="301" t="s">
        <v>14</v>
      </c>
      <c r="B374" t="s">
        <v>4910</v>
      </c>
      <c r="C374" t="s">
        <v>4911</v>
      </c>
      <c r="D374" t="s">
        <v>4949</v>
      </c>
      <c r="E374" t="s">
        <v>4950</v>
      </c>
      <c r="F374" t="s">
        <v>3906</v>
      </c>
      <c r="G374" t="s">
        <v>4951</v>
      </c>
    </row>
    <row r="375" spans="1:7" ht="11.25" customHeight="1">
      <c r="A375" s="301" t="s">
        <v>14</v>
      </c>
      <c r="B375" t="s">
        <v>4952</v>
      </c>
      <c r="C375" t="s">
        <v>4953</v>
      </c>
      <c r="D375" t="s">
        <v>4954</v>
      </c>
      <c r="E375" t="s">
        <v>4955</v>
      </c>
      <c r="F375" t="s">
        <v>3906</v>
      </c>
      <c r="G375" t="s">
        <v>4956</v>
      </c>
    </row>
    <row r="376" spans="1:7" ht="11.25" customHeight="1">
      <c r="A376" s="301" t="s">
        <v>14</v>
      </c>
      <c r="B376" t="s">
        <v>4952</v>
      </c>
      <c r="C376" t="s">
        <v>4953</v>
      </c>
      <c r="D376" t="s">
        <v>4957</v>
      </c>
      <c r="E376" t="s">
        <v>4958</v>
      </c>
      <c r="F376" t="s">
        <v>3906</v>
      </c>
      <c r="G376" t="s">
        <v>4959</v>
      </c>
    </row>
    <row r="377" spans="1:7" ht="11.25" customHeight="1">
      <c r="A377" s="301" t="s">
        <v>14</v>
      </c>
      <c r="B377" t="s">
        <v>4952</v>
      </c>
      <c r="C377" t="s">
        <v>4953</v>
      </c>
      <c r="D377" t="s">
        <v>4960</v>
      </c>
      <c r="E377" t="s">
        <v>4961</v>
      </c>
      <c r="F377" t="s">
        <v>3906</v>
      </c>
      <c r="G377" t="s">
        <v>4962</v>
      </c>
    </row>
    <row r="378" spans="1:7" ht="11.25" customHeight="1">
      <c r="A378" s="301" t="s">
        <v>14</v>
      </c>
      <c r="B378" t="s">
        <v>4952</v>
      </c>
      <c r="C378" t="s">
        <v>4953</v>
      </c>
      <c r="D378" t="s">
        <v>4963</v>
      </c>
      <c r="E378" t="s">
        <v>4964</v>
      </c>
      <c r="F378" t="s">
        <v>4075</v>
      </c>
      <c r="G378" t="s">
        <v>4965</v>
      </c>
    </row>
    <row r="379" spans="1:7" ht="11.25" customHeight="1">
      <c r="A379" s="301" t="s">
        <v>14</v>
      </c>
      <c r="B379" t="s">
        <v>4952</v>
      </c>
      <c r="C379" t="s">
        <v>4953</v>
      </c>
      <c r="D379" t="s">
        <v>4952</v>
      </c>
      <c r="E379" t="s">
        <v>4953</v>
      </c>
      <c r="F379" t="s">
        <v>3903</v>
      </c>
      <c r="G379" t="s">
        <v>4966</v>
      </c>
    </row>
    <row r="380" spans="1:7" ht="11.25" customHeight="1">
      <c r="A380" s="301" t="s">
        <v>14</v>
      </c>
      <c r="B380" t="s">
        <v>4952</v>
      </c>
      <c r="C380" t="s">
        <v>4953</v>
      </c>
      <c r="D380" t="s">
        <v>4967</v>
      </c>
      <c r="E380" t="s">
        <v>4968</v>
      </c>
      <c r="F380" t="s">
        <v>3906</v>
      </c>
      <c r="G380" t="s">
        <v>4969</v>
      </c>
    </row>
    <row r="381" spans="1:7" ht="11.25" customHeight="1">
      <c r="A381" s="301" t="s">
        <v>14</v>
      </c>
      <c r="B381" t="s">
        <v>4952</v>
      </c>
      <c r="C381" t="s">
        <v>4953</v>
      </c>
      <c r="D381" t="s">
        <v>4970</v>
      </c>
      <c r="E381" t="s">
        <v>4971</v>
      </c>
      <c r="F381" t="s">
        <v>3906</v>
      </c>
      <c r="G381" t="s">
        <v>4972</v>
      </c>
    </row>
    <row r="382" spans="1:7" ht="11.25" customHeight="1">
      <c r="A382" s="301" t="s">
        <v>14</v>
      </c>
      <c r="B382" t="s">
        <v>4952</v>
      </c>
      <c r="C382" t="s">
        <v>4953</v>
      </c>
      <c r="D382" t="s">
        <v>4973</v>
      </c>
      <c r="E382" t="s">
        <v>4974</v>
      </c>
      <c r="F382" t="s">
        <v>3906</v>
      </c>
      <c r="G382" t="s">
        <v>4975</v>
      </c>
    </row>
    <row r="383" spans="1:7" ht="11.25" customHeight="1">
      <c r="A383" s="301" t="s">
        <v>14</v>
      </c>
      <c r="B383" t="s">
        <v>4952</v>
      </c>
      <c r="C383" t="s">
        <v>4953</v>
      </c>
      <c r="D383" t="s">
        <v>4976</v>
      </c>
      <c r="E383" t="s">
        <v>4977</v>
      </c>
      <c r="F383" t="s">
        <v>3906</v>
      </c>
      <c r="G383" t="s">
        <v>4978</v>
      </c>
    </row>
    <row r="384" spans="1:7" ht="11.25" customHeight="1">
      <c r="A384" s="301" t="s">
        <v>14</v>
      </c>
      <c r="B384" t="s">
        <v>4952</v>
      </c>
      <c r="C384" t="s">
        <v>4953</v>
      </c>
      <c r="D384" t="s">
        <v>4979</v>
      </c>
      <c r="E384" t="s">
        <v>4980</v>
      </c>
      <c r="F384" t="s">
        <v>3906</v>
      </c>
      <c r="G384" t="s">
        <v>4981</v>
      </c>
    </row>
    <row r="385" spans="1:7" ht="11.25" customHeight="1">
      <c r="A385" s="301" t="s">
        <v>14</v>
      </c>
      <c r="B385" t="s">
        <v>4952</v>
      </c>
      <c r="C385" t="s">
        <v>4953</v>
      </c>
      <c r="D385" t="s">
        <v>4982</v>
      </c>
      <c r="E385" t="s">
        <v>4983</v>
      </c>
      <c r="F385" t="s">
        <v>3906</v>
      </c>
      <c r="G385" t="s">
        <v>4984</v>
      </c>
    </row>
    <row r="386" spans="1:7" ht="11.25" customHeight="1">
      <c r="A386" s="301" t="s">
        <v>14</v>
      </c>
      <c r="B386" t="s">
        <v>4952</v>
      </c>
      <c r="C386" t="s">
        <v>4953</v>
      </c>
      <c r="D386" t="s">
        <v>4985</v>
      </c>
      <c r="E386" t="s">
        <v>4986</v>
      </c>
      <c r="F386" t="s">
        <v>3984</v>
      </c>
      <c r="G386" t="s">
        <v>4987</v>
      </c>
    </row>
    <row r="387" spans="1:7" ht="11.25" customHeight="1">
      <c r="A387" s="301" t="s">
        <v>14</v>
      </c>
      <c r="B387" t="s">
        <v>4952</v>
      </c>
      <c r="C387" t="s">
        <v>4953</v>
      </c>
      <c r="D387" t="s">
        <v>4988</v>
      </c>
      <c r="E387" t="s">
        <v>4989</v>
      </c>
      <c r="F387" t="s">
        <v>3984</v>
      </c>
      <c r="G387" t="s">
        <v>4990</v>
      </c>
    </row>
    <row r="388" spans="1:7" ht="11.25" customHeight="1">
      <c r="A388" s="301" t="s">
        <v>14</v>
      </c>
      <c r="B388" t="s">
        <v>4952</v>
      </c>
      <c r="C388" t="s">
        <v>4953</v>
      </c>
      <c r="D388" t="s">
        <v>4991</v>
      </c>
      <c r="E388" t="s">
        <v>4992</v>
      </c>
      <c r="F388" t="s">
        <v>3984</v>
      </c>
      <c r="G388" t="s">
        <v>4993</v>
      </c>
    </row>
    <row r="389" spans="1:7" ht="11.25" customHeight="1">
      <c r="A389" s="301" t="s">
        <v>14</v>
      </c>
      <c r="B389" t="s">
        <v>4994</v>
      </c>
      <c r="C389" t="s">
        <v>4995</v>
      </c>
      <c r="D389" t="s">
        <v>4996</v>
      </c>
      <c r="E389" t="s">
        <v>4997</v>
      </c>
      <c r="F389" t="s">
        <v>3906</v>
      </c>
      <c r="G389" t="s">
        <v>4998</v>
      </c>
    </row>
    <row r="390" spans="1:7" ht="11.25" customHeight="1">
      <c r="A390" s="301" t="s">
        <v>14</v>
      </c>
      <c r="B390" t="s">
        <v>4994</v>
      </c>
      <c r="C390" t="s">
        <v>4995</v>
      </c>
      <c r="D390" t="s">
        <v>4999</v>
      </c>
      <c r="E390" t="s">
        <v>5000</v>
      </c>
      <c r="F390" t="s">
        <v>3906</v>
      </c>
      <c r="G390" t="s">
        <v>5001</v>
      </c>
    </row>
    <row r="391" spans="1:7" ht="11.25" customHeight="1">
      <c r="A391" s="301" t="s">
        <v>14</v>
      </c>
      <c r="B391" t="s">
        <v>4994</v>
      </c>
      <c r="C391" t="s">
        <v>4995</v>
      </c>
      <c r="D391" t="s">
        <v>5002</v>
      </c>
      <c r="E391" t="s">
        <v>5003</v>
      </c>
      <c r="F391" t="s">
        <v>3906</v>
      </c>
      <c r="G391" t="s">
        <v>5004</v>
      </c>
    </row>
    <row r="392" spans="1:7" ht="11.25" customHeight="1">
      <c r="A392" s="301" t="s">
        <v>14</v>
      </c>
      <c r="B392" t="s">
        <v>4994</v>
      </c>
      <c r="C392" t="s">
        <v>4995</v>
      </c>
      <c r="D392" t="s">
        <v>5005</v>
      </c>
      <c r="E392" t="s">
        <v>5006</v>
      </c>
      <c r="F392" t="s">
        <v>3906</v>
      </c>
      <c r="G392" t="s">
        <v>5007</v>
      </c>
    </row>
    <row r="393" spans="1:7" ht="11.25" customHeight="1">
      <c r="A393" s="301" t="s">
        <v>14</v>
      </c>
      <c r="B393" t="s">
        <v>4994</v>
      </c>
      <c r="C393" t="s">
        <v>4995</v>
      </c>
      <c r="D393" t="s">
        <v>5008</v>
      </c>
      <c r="E393" t="s">
        <v>5009</v>
      </c>
      <c r="F393" t="s">
        <v>3906</v>
      </c>
      <c r="G393" t="s">
        <v>5010</v>
      </c>
    </row>
    <row r="394" spans="1:7" ht="11.25" customHeight="1">
      <c r="A394" s="301" t="s">
        <v>14</v>
      </c>
      <c r="B394" t="s">
        <v>4994</v>
      </c>
      <c r="C394" t="s">
        <v>4995</v>
      </c>
      <c r="D394" t="s">
        <v>4994</v>
      </c>
      <c r="E394" t="s">
        <v>4995</v>
      </c>
      <c r="F394" t="s">
        <v>3903</v>
      </c>
      <c r="G394" t="s">
        <v>5011</v>
      </c>
    </row>
    <row r="395" spans="1:7" ht="11.25" customHeight="1">
      <c r="A395" s="301" t="s">
        <v>14</v>
      </c>
      <c r="B395" t="s">
        <v>4994</v>
      </c>
      <c r="C395" t="s">
        <v>4995</v>
      </c>
      <c r="D395" t="s">
        <v>5012</v>
      </c>
      <c r="E395" t="s">
        <v>5013</v>
      </c>
      <c r="F395" t="s">
        <v>3906</v>
      </c>
      <c r="G395" t="s">
        <v>5014</v>
      </c>
    </row>
    <row r="396" spans="1:7" ht="11.25" customHeight="1">
      <c r="A396" s="301" t="s">
        <v>14</v>
      </c>
      <c r="B396" t="s">
        <v>4994</v>
      </c>
      <c r="C396" t="s">
        <v>4995</v>
      </c>
      <c r="D396" t="s">
        <v>5015</v>
      </c>
      <c r="E396" t="s">
        <v>5016</v>
      </c>
      <c r="F396" t="s">
        <v>3906</v>
      </c>
      <c r="G396" t="s">
        <v>5017</v>
      </c>
    </row>
    <row r="397" spans="1:7" ht="11.25" customHeight="1">
      <c r="A397" s="301" t="s">
        <v>14</v>
      </c>
      <c r="B397" t="s">
        <v>4994</v>
      </c>
      <c r="C397" t="s">
        <v>4995</v>
      </c>
      <c r="D397" t="s">
        <v>3949</v>
      </c>
      <c r="E397" t="s">
        <v>5018</v>
      </c>
      <c r="F397" t="s">
        <v>3906</v>
      </c>
      <c r="G397" t="s">
        <v>5019</v>
      </c>
    </row>
    <row r="398" spans="1:7" ht="11.25" customHeight="1">
      <c r="A398" s="301" t="s">
        <v>14</v>
      </c>
      <c r="B398" t="s">
        <v>4994</v>
      </c>
      <c r="C398" t="s">
        <v>4995</v>
      </c>
      <c r="D398" t="s">
        <v>5020</v>
      </c>
      <c r="E398" t="s">
        <v>5021</v>
      </c>
      <c r="F398" t="s">
        <v>3906</v>
      </c>
      <c r="G398" t="s">
        <v>5022</v>
      </c>
    </row>
    <row r="399" spans="1:7" ht="11.25" customHeight="1">
      <c r="A399" s="301" t="s">
        <v>14</v>
      </c>
      <c r="B399" t="s">
        <v>4994</v>
      </c>
      <c r="C399" t="s">
        <v>4995</v>
      </c>
      <c r="D399" t="s">
        <v>5023</v>
      </c>
      <c r="E399" t="s">
        <v>5024</v>
      </c>
      <c r="F399" t="s">
        <v>3906</v>
      </c>
      <c r="G399" t="s">
        <v>5025</v>
      </c>
    </row>
    <row r="400" spans="1:7" ht="11.25" customHeight="1">
      <c r="A400" s="301" t="s">
        <v>14</v>
      </c>
      <c r="B400" t="s">
        <v>5026</v>
      </c>
      <c r="C400" t="s">
        <v>5027</v>
      </c>
      <c r="D400" t="s">
        <v>4516</v>
      </c>
      <c r="E400" t="s">
        <v>5028</v>
      </c>
      <c r="F400" t="s">
        <v>3906</v>
      </c>
      <c r="G400" t="s">
        <v>5029</v>
      </c>
    </row>
    <row r="401" spans="1:7" ht="11.25" customHeight="1">
      <c r="A401" s="301" t="s">
        <v>14</v>
      </c>
      <c r="B401" t="s">
        <v>5026</v>
      </c>
      <c r="C401" t="s">
        <v>5027</v>
      </c>
      <c r="D401" t="s">
        <v>5030</v>
      </c>
      <c r="E401" t="s">
        <v>5031</v>
      </c>
      <c r="F401" t="s">
        <v>3906</v>
      </c>
      <c r="G401" t="s">
        <v>5032</v>
      </c>
    </row>
    <row r="402" spans="1:7" ht="11.25" customHeight="1">
      <c r="A402" s="301" t="s">
        <v>14</v>
      </c>
      <c r="B402" t="s">
        <v>5026</v>
      </c>
      <c r="C402" t="s">
        <v>5027</v>
      </c>
      <c r="D402" t="s">
        <v>5033</v>
      </c>
      <c r="E402" t="s">
        <v>5034</v>
      </c>
      <c r="F402" t="s">
        <v>3906</v>
      </c>
      <c r="G402" t="s">
        <v>5035</v>
      </c>
    </row>
    <row r="403" spans="1:7" ht="11.25" customHeight="1">
      <c r="A403" s="301" t="s">
        <v>14</v>
      </c>
      <c r="B403" t="s">
        <v>5026</v>
      </c>
      <c r="C403" t="s">
        <v>5027</v>
      </c>
      <c r="D403" t="s">
        <v>5036</v>
      </c>
      <c r="E403" t="s">
        <v>5037</v>
      </c>
      <c r="F403" t="s">
        <v>3906</v>
      </c>
      <c r="G403" t="s">
        <v>5038</v>
      </c>
    </row>
    <row r="404" spans="1:7" ht="11.25" customHeight="1">
      <c r="A404" s="301" t="s">
        <v>14</v>
      </c>
      <c r="B404" t="s">
        <v>5026</v>
      </c>
      <c r="C404" t="s">
        <v>5027</v>
      </c>
      <c r="D404" t="s">
        <v>5039</v>
      </c>
      <c r="E404" t="s">
        <v>5040</v>
      </c>
      <c r="F404" t="s">
        <v>3906</v>
      </c>
      <c r="G404" t="s">
        <v>5041</v>
      </c>
    </row>
    <row r="405" spans="1:7" ht="11.25" customHeight="1">
      <c r="A405" s="301" t="s">
        <v>14</v>
      </c>
      <c r="B405" t="s">
        <v>5026</v>
      </c>
      <c r="C405" t="s">
        <v>5027</v>
      </c>
      <c r="D405" t="s">
        <v>5042</v>
      </c>
      <c r="E405" t="s">
        <v>5043</v>
      </c>
      <c r="F405" t="s">
        <v>3906</v>
      </c>
      <c r="G405" t="s">
        <v>5044</v>
      </c>
    </row>
    <row r="406" spans="1:7" ht="11.25" customHeight="1">
      <c r="A406" s="301" t="s">
        <v>14</v>
      </c>
      <c r="B406" t="s">
        <v>5026</v>
      </c>
      <c r="C406" t="s">
        <v>5027</v>
      </c>
      <c r="D406" t="s">
        <v>5026</v>
      </c>
      <c r="E406" t="s">
        <v>5027</v>
      </c>
      <c r="F406" t="s">
        <v>3903</v>
      </c>
      <c r="G406" t="s">
        <v>5045</v>
      </c>
    </row>
    <row r="407" spans="1:7" ht="11.25" customHeight="1">
      <c r="A407" s="301" t="s">
        <v>14</v>
      </c>
      <c r="B407" t="s">
        <v>5026</v>
      </c>
      <c r="C407" t="s">
        <v>5027</v>
      </c>
      <c r="D407" t="s">
        <v>5046</v>
      </c>
      <c r="E407" t="s">
        <v>5047</v>
      </c>
      <c r="F407" t="s">
        <v>3906</v>
      </c>
      <c r="G407" t="s">
        <v>5048</v>
      </c>
    </row>
    <row r="408" spans="1:7" ht="11.25" customHeight="1">
      <c r="A408" s="301" t="s">
        <v>14</v>
      </c>
      <c r="B408" t="s">
        <v>5026</v>
      </c>
      <c r="C408" t="s">
        <v>5027</v>
      </c>
      <c r="D408" t="s">
        <v>5049</v>
      </c>
      <c r="E408" t="s">
        <v>5050</v>
      </c>
      <c r="F408" t="s">
        <v>3906</v>
      </c>
      <c r="G408" t="s">
        <v>5051</v>
      </c>
    </row>
    <row r="409" spans="1:7" ht="11.25" customHeight="1">
      <c r="A409" s="301" t="s">
        <v>14</v>
      </c>
      <c r="B409" t="s">
        <v>5026</v>
      </c>
      <c r="C409" t="s">
        <v>5027</v>
      </c>
      <c r="D409" t="s">
        <v>5052</v>
      </c>
      <c r="E409" t="s">
        <v>5053</v>
      </c>
      <c r="F409" t="s">
        <v>3906</v>
      </c>
      <c r="G409" t="s">
        <v>5054</v>
      </c>
    </row>
    <row r="410" spans="1:7" ht="11.25" customHeight="1">
      <c r="A410" s="301" t="s">
        <v>14</v>
      </c>
      <c r="B410" t="s">
        <v>5026</v>
      </c>
      <c r="C410" t="s">
        <v>5027</v>
      </c>
      <c r="D410" t="s">
        <v>5055</v>
      </c>
      <c r="E410" t="s">
        <v>5056</v>
      </c>
      <c r="F410" t="s">
        <v>3984</v>
      </c>
      <c r="G410" t="s">
        <v>5057</v>
      </c>
    </row>
    <row r="411" spans="1:7" ht="11.25" customHeight="1">
      <c r="A411" s="301" t="s">
        <v>14</v>
      </c>
      <c r="B411" t="s">
        <v>5026</v>
      </c>
      <c r="C411" t="s">
        <v>5027</v>
      </c>
      <c r="D411" t="s">
        <v>5058</v>
      </c>
      <c r="E411" t="s">
        <v>5059</v>
      </c>
      <c r="F411" t="s">
        <v>3984</v>
      </c>
      <c r="G411" t="s">
        <v>5060</v>
      </c>
    </row>
    <row r="412" spans="1:7" ht="11.25" customHeight="1">
      <c r="A412" s="301" t="s">
        <v>14</v>
      </c>
      <c r="B412" t="s">
        <v>5026</v>
      </c>
      <c r="C412" t="s">
        <v>5027</v>
      </c>
      <c r="D412" t="s">
        <v>5061</v>
      </c>
      <c r="E412" t="s">
        <v>5062</v>
      </c>
      <c r="F412" t="s">
        <v>3984</v>
      </c>
      <c r="G412" t="s">
        <v>5063</v>
      </c>
    </row>
    <row r="413" spans="1:7" ht="11.25" customHeight="1">
      <c r="A413" s="301" t="s">
        <v>14</v>
      </c>
      <c r="B413" t="s">
        <v>5026</v>
      </c>
      <c r="C413" t="s">
        <v>5027</v>
      </c>
      <c r="D413" t="s">
        <v>4504</v>
      </c>
      <c r="E413" t="s">
        <v>5064</v>
      </c>
      <c r="F413" t="s">
        <v>3906</v>
      </c>
      <c r="G413" t="s">
        <v>5065</v>
      </c>
    </row>
    <row r="414" spans="1:7" ht="11.25" customHeight="1">
      <c r="A414" s="301" t="s">
        <v>14</v>
      </c>
      <c r="B414" t="s">
        <v>5026</v>
      </c>
      <c r="C414" t="s">
        <v>5027</v>
      </c>
      <c r="D414" t="s">
        <v>5066</v>
      </c>
      <c r="E414" t="s">
        <v>5067</v>
      </c>
      <c r="F414" t="s">
        <v>3906</v>
      </c>
      <c r="G414" t="s">
        <v>5068</v>
      </c>
    </row>
    <row r="415" spans="1:7" ht="11.25" customHeight="1">
      <c r="A415" s="301" t="s">
        <v>14</v>
      </c>
      <c r="B415" t="s">
        <v>5026</v>
      </c>
      <c r="C415" t="s">
        <v>5027</v>
      </c>
      <c r="D415" t="s">
        <v>5069</v>
      </c>
      <c r="E415" t="s">
        <v>5070</v>
      </c>
      <c r="F415" t="s">
        <v>3906</v>
      </c>
      <c r="G415" t="s">
        <v>5071</v>
      </c>
    </row>
    <row r="416" spans="1:7" ht="11.25" customHeight="1">
      <c r="A416" s="301" t="s">
        <v>14</v>
      </c>
      <c r="B416" t="s">
        <v>5026</v>
      </c>
      <c r="C416" t="s">
        <v>5027</v>
      </c>
      <c r="D416" t="s">
        <v>5072</v>
      </c>
      <c r="E416" t="s">
        <v>5073</v>
      </c>
      <c r="F416" t="s">
        <v>3906</v>
      </c>
      <c r="G416" t="s">
        <v>5074</v>
      </c>
    </row>
    <row r="417" spans="1:7" ht="11.25" customHeight="1">
      <c r="A417" s="301" t="s">
        <v>14</v>
      </c>
      <c r="B417" t="s">
        <v>5026</v>
      </c>
      <c r="C417" t="s">
        <v>5027</v>
      </c>
      <c r="D417" t="s">
        <v>5075</v>
      </c>
      <c r="E417" t="s">
        <v>5076</v>
      </c>
      <c r="F417" t="s">
        <v>3906</v>
      </c>
      <c r="G417" t="s">
        <v>5077</v>
      </c>
    </row>
    <row r="418" spans="1:7" ht="11.25" customHeight="1">
      <c r="A418" s="301" t="s">
        <v>14</v>
      </c>
      <c r="B418" t="s">
        <v>5026</v>
      </c>
      <c r="C418" t="s">
        <v>5027</v>
      </c>
      <c r="D418" t="s">
        <v>5078</v>
      </c>
      <c r="E418" t="s">
        <v>5079</v>
      </c>
      <c r="F418" t="s">
        <v>3984</v>
      </c>
      <c r="G418" t="s">
        <v>5080</v>
      </c>
    </row>
    <row r="419" spans="1:7" ht="11.25" customHeight="1">
      <c r="A419" s="301" t="s">
        <v>14</v>
      </c>
      <c r="B419" t="s">
        <v>5081</v>
      </c>
      <c r="C419" t="s">
        <v>5082</v>
      </c>
      <c r="D419" t="s">
        <v>5083</v>
      </c>
      <c r="E419" t="s">
        <v>5084</v>
      </c>
      <c r="F419" t="s">
        <v>3906</v>
      </c>
      <c r="G419" t="s">
        <v>5085</v>
      </c>
    </row>
    <row r="420" spans="1:7" ht="11.25" customHeight="1">
      <c r="A420" s="301" t="s">
        <v>14</v>
      </c>
      <c r="B420" t="s">
        <v>5081</v>
      </c>
      <c r="C420" t="s">
        <v>5082</v>
      </c>
      <c r="D420" t="s">
        <v>5086</v>
      </c>
      <c r="E420" t="s">
        <v>5087</v>
      </c>
      <c r="F420" t="s">
        <v>3906</v>
      </c>
      <c r="G420" t="s">
        <v>5088</v>
      </c>
    </row>
    <row r="421" spans="1:7" ht="11.25" customHeight="1">
      <c r="A421" s="301" t="s">
        <v>14</v>
      </c>
      <c r="B421" t="s">
        <v>5081</v>
      </c>
      <c r="C421" t="s">
        <v>5082</v>
      </c>
      <c r="D421" t="s">
        <v>5089</v>
      </c>
      <c r="E421" t="s">
        <v>5090</v>
      </c>
      <c r="F421" t="s">
        <v>3906</v>
      </c>
      <c r="G421" t="s">
        <v>5091</v>
      </c>
    </row>
    <row r="422" spans="1:7" ht="11.25" customHeight="1">
      <c r="A422" s="301" t="s">
        <v>14</v>
      </c>
      <c r="B422" t="s">
        <v>5081</v>
      </c>
      <c r="C422" t="s">
        <v>5082</v>
      </c>
      <c r="D422" t="s">
        <v>5092</v>
      </c>
      <c r="E422" t="s">
        <v>5093</v>
      </c>
      <c r="F422" t="s">
        <v>3906</v>
      </c>
      <c r="G422" t="s">
        <v>5094</v>
      </c>
    </row>
    <row r="423" spans="1:7" ht="11.25" customHeight="1">
      <c r="A423" s="301" t="s">
        <v>14</v>
      </c>
      <c r="B423" t="s">
        <v>5081</v>
      </c>
      <c r="C423" t="s">
        <v>5082</v>
      </c>
      <c r="D423" t="s">
        <v>5081</v>
      </c>
      <c r="E423" t="s">
        <v>5082</v>
      </c>
      <c r="F423" t="s">
        <v>3903</v>
      </c>
      <c r="G423" t="s">
        <v>5095</v>
      </c>
    </row>
    <row r="424" spans="1:7" ht="11.25" customHeight="1">
      <c r="A424" s="301" t="s">
        <v>14</v>
      </c>
      <c r="B424" t="s">
        <v>5081</v>
      </c>
      <c r="C424" t="s">
        <v>5082</v>
      </c>
      <c r="D424" t="s">
        <v>5096</v>
      </c>
      <c r="E424" t="s">
        <v>5097</v>
      </c>
      <c r="F424" t="s">
        <v>3906</v>
      </c>
      <c r="G424" t="s">
        <v>5098</v>
      </c>
    </row>
    <row r="425" spans="1:7" ht="11.25" customHeight="1">
      <c r="A425" s="301" t="s">
        <v>14</v>
      </c>
      <c r="B425" t="s">
        <v>5081</v>
      </c>
      <c r="C425" t="s">
        <v>5082</v>
      </c>
      <c r="D425" t="s">
        <v>5099</v>
      </c>
      <c r="E425" t="s">
        <v>5100</v>
      </c>
      <c r="F425" t="s">
        <v>3906</v>
      </c>
      <c r="G425" t="s">
        <v>5101</v>
      </c>
    </row>
    <row r="426" spans="1:7" ht="11.25" customHeight="1">
      <c r="A426" s="301" t="s">
        <v>14</v>
      </c>
      <c r="B426" t="s">
        <v>5081</v>
      </c>
      <c r="C426" t="s">
        <v>5082</v>
      </c>
      <c r="D426" t="s">
        <v>5102</v>
      </c>
      <c r="E426" t="s">
        <v>5103</v>
      </c>
      <c r="F426" t="s">
        <v>3906</v>
      </c>
      <c r="G426" t="s">
        <v>5104</v>
      </c>
    </row>
    <row r="427" spans="1:7" ht="11.25" customHeight="1">
      <c r="A427" s="301" t="s">
        <v>14</v>
      </c>
      <c r="B427" t="s">
        <v>5081</v>
      </c>
      <c r="C427" t="s">
        <v>5082</v>
      </c>
      <c r="D427" t="s">
        <v>5105</v>
      </c>
      <c r="E427" t="s">
        <v>5106</v>
      </c>
      <c r="F427" t="s">
        <v>3906</v>
      </c>
      <c r="G427" t="s">
        <v>5107</v>
      </c>
    </row>
    <row r="428" spans="1:7" ht="11.25" customHeight="1">
      <c r="A428" s="301" t="s">
        <v>14</v>
      </c>
      <c r="B428" t="s">
        <v>5108</v>
      </c>
      <c r="C428" t="s">
        <v>5109</v>
      </c>
      <c r="D428" t="s">
        <v>5110</v>
      </c>
      <c r="E428" t="s">
        <v>5111</v>
      </c>
      <c r="F428" t="s">
        <v>3906</v>
      </c>
      <c r="G428" t="s">
        <v>5112</v>
      </c>
    </row>
    <row r="429" spans="1:7" ht="11.25" customHeight="1">
      <c r="A429" s="301" t="s">
        <v>14</v>
      </c>
      <c r="B429" t="s">
        <v>5108</v>
      </c>
      <c r="C429" t="s">
        <v>5109</v>
      </c>
      <c r="D429" t="s">
        <v>5113</v>
      </c>
      <c r="E429" t="s">
        <v>5114</v>
      </c>
      <c r="F429" t="s">
        <v>3906</v>
      </c>
      <c r="G429" t="s">
        <v>5115</v>
      </c>
    </row>
    <row r="430" spans="1:7" ht="11.25" customHeight="1">
      <c r="A430" s="301" t="s">
        <v>14</v>
      </c>
      <c r="B430" t="s">
        <v>5108</v>
      </c>
      <c r="C430" t="s">
        <v>5109</v>
      </c>
      <c r="D430" t="s">
        <v>5033</v>
      </c>
      <c r="E430" t="s">
        <v>5116</v>
      </c>
      <c r="F430" t="s">
        <v>3906</v>
      </c>
      <c r="G430" t="s">
        <v>5117</v>
      </c>
    </row>
    <row r="431" spans="1:7" ht="11.25" customHeight="1">
      <c r="A431" s="301" t="s">
        <v>14</v>
      </c>
      <c r="B431" t="s">
        <v>5108</v>
      </c>
      <c r="C431" t="s">
        <v>5109</v>
      </c>
      <c r="D431" t="s">
        <v>5118</v>
      </c>
      <c r="E431" t="s">
        <v>5119</v>
      </c>
      <c r="F431" t="s">
        <v>3906</v>
      </c>
      <c r="G431" t="s">
        <v>5120</v>
      </c>
    </row>
    <row r="432" spans="1:7" ht="11.25" customHeight="1">
      <c r="A432" s="301" t="s">
        <v>14</v>
      </c>
      <c r="B432" t="s">
        <v>5108</v>
      </c>
      <c r="C432" t="s">
        <v>5109</v>
      </c>
      <c r="D432" t="s">
        <v>5121</v>
      </c>
      <c r="E432" t="s">
        <v>5122</v>
      </c>
      <c r="F432" t="s">
        <v>3906</v>
      </c>
      <c r="G432" t="s">
        <v>5123</v>
      </c>
    </row>
    <row r="433" spans="1:7" ht="11.25" customHeight="1">
      <c r="A433" s="301" t="s">
        <v>14</v>
      </c>
      <c r="B433" t="s">
        <v>5108</v>
      </c>
      <c r="C433" t="s">
        <v>5109</v>
      </c>
      <c r="D433" t="s">
        <v>5124</v>
      </c>
      <c r="E433" t="s">
        <v>5125</v>
      </c>
      <c r="F433" t="s">
        <v>3906</v>
      </c>
      <c r="G433" t="s">
        <v>5126</v>
      </c>
    </row>
    <row r="434" spans="1:7" ht="11.25" customHeight="1">
      <c r="A434" s="301" t="s">
        <v>14</v>
      </c>
      <c r="B434" t="s">
        <v>5108</v>
      </c>
      <c r="C434" t="s">
        <v>5109</v>
      </c>
      <c r="D434" t="s">
        <v>5127</v>
      </c>
      <c r="E434" t="s">
        <v>5128</v>
      </c>
      <c r="F434" t="s">
        <v>3906</v>
      </c>
      <c r="G434" t="s">
        <v>5129</v>
      </c>
    </row>
    <row r="435" spans="1:7" ht="11.25" customHeight="1">
      <c r="A435" s="301" t="s">
        <v>14</v>
      </c>
      <c r="B435" t="s">
        <v>5108</v>
      </c>
      <c r="C435" t="s">
        <v>5109</v>
      </c>
      <c r="D435" t="s">
        <v>5108</v>
      </c>
      <c r="E435" t="s">
        <v>5109</v>
      </c>
      <c r="F435" t="s">
        <v>3903</v>
      </c>
      <c r="G435" t="s">
        <v>5130</v>
      </c>
    </row>
    <row r="436" spans="1:7" ht="11.25" customHeight="1">
      <c r="A436" s="301" t="s">
        <v>14</v>
      </c>
      <c r="B436" t="s">
        <v>5108</v>
      </c>
      <c r="C436" t="s">
        <v>5109</v>
      </c>
      <c r="D436" t="s">
        <v>4973</v>
      </c>
      <c r="E436" t="s">
        <v>5131</v>
      </c>
      <c r="F436" t="s">
        <v>3906</v>
      </c>
      <c r="G436" t="s">
        <v>5132</v>
      </c>
    </row>
    <row r="437" spans="1:7" ht="11.25" customHeight="1">
      <c r="A437" s="301" t="s">
        <v>14</v>
      </c>
      <c r="B437" t="s">
        <v>5108</v>
      </c>
      <c r="C437" t="s">
        <v>5109</v>
      </c>
      <c r="D437" t="s">
        <v>5133</v>
      </c>
      <c r="E437" t="s">
        <v>5134</v>
      </c>
      <c r="F437" t="s">
        <v>3906</v>
      </c>
      <c r="G437" t="s">
        <v>5135</v>
      </c>
    </row>
    <row r="438" spans="1:7" ht="11.25" customHeight="1">
      <c r="A438" s="301" t="s">
        <v>14</v>
      </c>
      <c r="B438" t="s">
        <v>5136</v>
      </c>
      <c r="C438" t="s">
        <v>5137</v>
      </c>
      <c r="D438" t="s">
        <v>5136</v>
      </c>
      <c r="E438" t="s">
        <v>5137</v>
      </c>
      <c r="F438" t="s">
        <v>5138</v>
      </c>
      <c r="G438" t="s">
        <v>5139</v>
      </c>
    </row>
    <row r="439" spans="1:7" ht="11.25" customHeight="1">
      <c r="A439" s="301" t="s">
        <v>14</v>
      </c>
      <c r="B439" t="s">
        <v>5140</v>
      </c>
      <c r="C439" t="s">
        <v>5141</v>
      </c>
      <c r="D439" t="s">
        <v>5142</v>
      </c>
      <c r="E439" t="s">
        <v>5143</v>
      </c>
      <c r="F439" t="s">
        <v>3906</v>
      </c>
      <c r="G439" t="s">
        <v>5144</v>
      </c>
    </row>
    <row r="440" spans="1:7" ht="11.25" customHeight="1">
      <c r="A440" s="301" t="s">
        <v>14</v>
      </c>
      <c r="B440" t="s">
        <v>5140</v>
      </c>
      <c r="C440" t="s">
        <v>5141</v>
      </c>
      <c r="D440" t="s">
        <v>5145</v>
      </c>
      <c r="E440" t="s">
        <v>5146</v>
      </c>
      <c r="F440" t="s">
        <v>3906</v>
      </c>
      <c r="G440" t="s">
        <v>5147</v>
      </c>
    </row>
    <row r="441" spans="1:7" ht="11.25" customHeight="1">
      <c r="A441" s="301" t="s">
        <v>14</v>
      </c>
      <c r="B441" t="s">
        <v>5140</v>
      </c>
      <c r="C441" t="s">
        <v>5141</v>
      </c>
      <c r="D441" t="s">
        <v>5148</v>
      </c>
      <c r="E441" t="s">
        <v>5149</v>
      </c>
      <c r="F441" t="s">
        <v>3906</v>
      </c>
      <c r="G441" t="s">
        <v>5150</v>
      </c>
    </row>
    <row r="442" spans="1:7" ht="11.25" customHeight="1">
      <c r="A442" s="301" t="s">
        <v>14</v>
      </c>
      <c r="B442" t="s">
        <v>5140</v>
      </c>
      <c r="C442" t="s">
        <v>5141</v>
      </c>
      <c r="D442" t="s">
        <v>5151</v>
      </c>
      <c r="E442" t="s">
        <v>5152</v>
      </c>
      <c r="F442" t="s">
        <v>3906</v>
      </c>
      <c r="G442" t="s">
        <v>5153</v>
      </c>
    </row>
    <row r="443" spans="1:7" ht="11.25" customHeight="1">
      <c r="A443" s="301" t="s">
        <v>14</v>
      </c>
      <c r="B443" t="s">
        <v>5140</v>
      </c>
      <c r="C443" t="s">
        <v>5141</v>
      </c>
      <c r="D443" t="s">
        <v>5154</v>
      </c>
      <c r="E443" t="s">
        <v>5155</v>
      </c>
      <c r="F443" t="s">
        <v>3906</v>
      </c>
      <c r="G443" t="s">
        <v>5156</v>
      </c>
    </row>
    <row r="444" spans="1:7" ht="11.25" customHeight="1">
      <c r="A444" s="301" t="s">
        <v>14</v>
      </c>
      <c r="B444" t="s">
        <v>5140</v>
      </c>
      <c r="C444" t="s">
        <v>5141</v>
      </c>
      <c r="D444" t="s">
        <v>5157</v>
      </c>
      <c r="E444" t="s">
        <v>5158</v>
      </c>
      <c r="F444" t="s">
        <v>3906</v>
      </c>
      <c r="G444" t="s">
        <v>5159</v>
      </c>
    </row>
    <row r="445" spans="1:7" ht="11.25" customHeight="1">
      <c r="A445" s="301" t="s">
        <v>14</v>
      </c>
      <c r="B445" t="s">
        <v>5140</v>
      </c>
      <c r="C445" t="s">
        <v>5141</v>
      </c>
      <c r="D445" t="s">
        <v>5140</v>
      </c>
      <c r="E445" t="s">
        <v>5141</v>
      </c>
      <c r="F445" t="s">
        <v>3903</v>
      </c>
      <c r="G445" t="s">
        <v>5160</v>
      </c>
    </row>
    <row r="446" spans="1:7" ht="11.25" customHeight="1">
      <c r="A446" s="301" t="s">
        <v>14</v>
      </c>
      <c r="B446" t="s">
        <v>5140</v>
      </c>
      <c r="C446" t="s">
        <v>5141</v>
      </c>
      <c r="D446" t="s">
        <v>5161</v>
      </c>
      <c r="E446" t="s">
        <v>5162</v>
      </c>
      <c r="F446" t="s">
        <v>3906</v>
      </c>
      <c r="G446" t="s">
        <v>5163</v>
      </c>
    </row>
    <row r="447" spans="1:7" ht="11.25" customHeight="1">
      <c r="A447" s="301" t="s">
        <v>14</v>
      </c>
      <c r="B447" t="s">
        <v>5140</v>
      </c>
      <c r="C447" t="s">
        <v>5141</v>
      </c>
      <c r="D447" t="s">
        <v>5164</v>
      </c>
      <c r="E447" t="s">
        <v>5165</v>
      </c>
      <c r="F447" t="s">
        <v>3906</v>
      </c>
      <c r="G447" t="s">
        <v>5166</v>
      </c>
    </row>
    <row r="448" spans="1:7" ht="11.25" customHeight="1">
      <c r="A448" s="301" t="s">
        <v>14</v>
      </c>
      <c r="B448" t="s">
        <v>5140</v>
      </c>
      <c r="C448" t="s">
        <v>5141</v>
      </c>
      <c r="D448" t="s">
        <v>5167</v>
      </c>
      <c r="E448" t="s">
        <v>5168</v>
      </c>
      <c r="F448" t="s">
        <v>3906</v>
      </c>
      <c r="G448" t="s">
        <v>5169</v>
      </c>
    </row>
    <row r="449" spans="1:7" ht="11.25" customHeight="1">
      <c r="A449" s="301" t="s">
        <v>14</v>
      </c>
      <c r="B449" t="s">
        <v>5140</v>
      </c>
      <c r="C449" t="s">
        <v>5141</v>
      </c>
      <c r="D449" t="s">
        <v>5170</v>
      </c>
      <c r="E449" t="s">
        <v>5171</v>
      </c>
      <c r="F449" t="s">
        <v>3906</v>
      </c>
      <c r="G449" t="s">
        <v>5172</v>
      </c>
    </row>
    <row r="450" spans="1:7" ht="11.25" customHeight="1">
      <c r="A450" s="301" t="s">
        <v>14</v>
      </c>
      <c r="B450" t="s">
        <v>5173</v>
      </c>
      <c r="C450" t="s">
        <v>5174</v>
      </c>
      <c r="D450" t="s">
        <v>5173</v>
      </c>
      <c r="E450" t="s">
        <v>5174</v>
      </c>
      <c r="F450" t="s">
        <v>4182</v>
      </c>
      <c r="G450" t="s">
        <v>5175</v>
      </c>
    </row>
    <row r="451" spans="1:7" ht="11.25" customHeight="1">
      <c r="A451" s="301" t="s">
        <v>14</v>
      </c>
      <c r="B451" t="s">
        <v>5176</v>
      </c>
      <c r="C451" t="s">
        <v>5177</v>
      </c>
      <c r="D451" t="s">
        <v>4026</v>
      </c>
      <c r="E451" t="s">
        <v>5178</v>
      </c>
      <c r="F451" t="s">
        <v>3906</v>
      </c>
      <c r="G451" t="s">
        <v>5179</v>
      </c>
    </row>
    <row r="452" spans="1:7" ht="11.25" customHeight="1">
      <c r="A452" s="301" t="s">
        <v>14</v>
      </c>
      <c r="B452" t="s">
        <v>5176</v>
      </c>
      <c r="C452" t="s">
        <v>5177</v>
      </c>
      <c r="D452" t="s">
        <v>5180</v>
      </c>
      <c r="E452" t="s">
        <v>5181</v>
      </c>
      <c r="F452" t="s">
        <v>3906</v>
      </c>
      <c r="G452" t="s">
        <v>5182</v>
      </c>
    </row>
    <row r="453" spans="1:7" ht="11.25" customHeight="1">
      <c r="A453" s="301" t="s">
        <v>14</v>
      </c>
      <c r="B453" t="s">
        <v>5176</v>
      </c>
      <c r="C453" t="s">
        <v>5177</v>
      </c>
      <c r="D453" t="s">
        <v>5183</v>
      </c>
      <c r="E453" t="s">
        <v>5184</v>
      </c>
      <c r="F453" t="s">
        <v>3906</v>
      </c>
      <c r="G453" t="s">
        <v>5185</v>
      </c>
    </row>
    <row r="454" spans="1:7" ht="11.25" customHeight="1">
      <c r="A454" s="301" t="s">
        <v>14</v>
      </c>
      <c r="B454" t="s">
        <v>5176</v>
      </c>
      <c r="C454" t="s">
        <v>5177</v>
      </c>
      <c r="D454" t="s">
        <v>5186</v>
      </c>
      <c r="E454" t="s">
        <v>5187</v>
      </c>
      <c r="F454" t="s">
        <v>4512</v>
      </c>
      <c r="G454" t="s">
        <v>5188</v>
      </c>
    </row>
    <row r="455" spans="1:7" ht="11.25" customHeight="1">
      <c r="A455" s="301" t="s">
        <v>14</v>
      </c>
      <c r="B455" t="s">
        <v>5176</v>
      </c>
      <c r="C455" t="s">
        <v>5177</v>
      </c>
      <c r="D455" t="s">
        <v>5189</v>
      </c>
      <c r="E455" t="s">
        <v>5190</v>
      </c>
      <c r="F455" t="s">
        <v>3906</v>
      </c>
      <c r="G455" t="s">
        <v>5191</v>
      </c>
    </row>
    <row r="456" spans="1:7" ht="11.25" customHeight="1">
      <c r="A456" s="301" t="s">
        <v>14</v>
      </c>
      <c r="B456" t="s">
        <v>5176</v>
      </c>
      <c r="C456" t="s">
        <v>5177</v>
      </c>
      <c r="D456" t="s">
        <v>4067</v>
      </c>
      <c r="E456" t="s">
        <v>5192</v>
      </c>
      <c r="F456" t="s">
        <v>3906</v>
      </c>
      <c r="G456" t="s">
        <v>5193</v>
      </c>
    </row>
    <row r="457" spans="1:7" ht="11.25" customHeight="1">
      <c r="A457" s="301" t="s">
        <v>14</v>
      </c>
      <c r="B457" t="s">
        <v>5176</v>
      </c>
      <c r="C457" t="s">
        <v>5177</v>
      </c>
      <c r="D457" t="s">
        <v>5194</v>
      </c>
      <c r="E457" t="s">
        <v>5195</v>
      </c>
      <c r="F457" t="s">
        <v>3906</v>
      </c>
      <c r="G457" t="s">
        <v>5196</v>
      </c>
    </row>
    <row r="458" spans="1:7" ht="11.25" customHeight="1">
      <c r="A458" s="301" t="s">
        <v>14</v>
      </c>
      <c r="B458" t="s">
        <v>5176</v>
      </c>
      <c r="C458" t="s">
        <v>5177</v>
      </c>
      <c r="D458" t="s">
        <v>5197</v>
      </c>
      <c r="E458" t="s">
        <v>5198</v>
      </c>
      <c r="F458" t="s">
        <v>3906</v>
      </c>
      <c r="G458" t="s">
        <v>5199</v>
      </c>
    </row>
    <row r="459" spans="1:7" ht="11.25" customHeight="1">
      <c r="A459" s="301" t="s">
        <v>14</v>
      </c>
      <c r="B459" t="s">
        <v>5176</v>
      </c>
      <c r="C459" t="s">
        <v>5177</v>
      </c>
      <c r="D459" t="s">
        <v>5200</v>
      </c>
      <c r="E459" t="s">
        <v>5201</v>
      </c>
      <c r="F459" t="s">
        <v>3906</v>
      </c>
      <c r="G459" t="s">
        <v>5202</v>
      </c>
    </row>
    <row r="460" spans="1:7" ht="11.25" customHeight="1">
      <c r="A460" s="301" t="s">
        <v>14</v>
      </c>
      <c r="B460" t="s">
        <v>5176</v>
      </c>
      <c r="C460" t="s">
        <v>5177</v>
      </c>
      <c r="D460" t="s">
        <v>5203</v>
      </c>
      <c r="E460" t="s">
        <v>5204</v>
      </c>
      <c r="F460" t="s">
        <v>3906</v>
      </c>
      <c r="G460" t="s">
        <v>5205</v>
      </c>
    </row>
    <row r="461" spans="1:7" ht="11.25" customHeight="1">
      <c r="A461" s="301" t="s">
        <v>14</v>
      </c>
      <c r="B461" t="s">
        <v>5176</v>
      </c>
      <c r="C461" t="s">
        <v>5177</v>
      </c>
      <c r="D461" t="s">
        <v>5206</v>
      </c>
      <c r="E461" t="s">
        <v>5207</v>
      </c>
      <c r="F461" t="s">
        <v>3906</v>
      </c>
      <c r="G461" t="s">
        <v>5208</v>
      </c>
    </row>
    <row r="462" spans="1:7" ht="11.25" customHeight="1">
      <c r="A462" s="301" t="s">
        <v>14</v>
      </c>
      <c r="B462" t="s">
        <v>5176</v>
      </c>
      <c r="C462" t="s">
        <v>5177</v>
      </c>
      <c r="D462" t="s">
        <v>5209</v>
      </c>
      <c r="E462" t="s">
        <v>5210</v>
      </c>
      <c r="F462" t="s">
        <v>3906</v>
      </c>
      <c r="G462" t="s">
        <v>5211</v>
      </c>
    </row>
    <row r="463" spans="1:7" ht="11.25" customHeight="1">
      <c r="A463" s="301" t="s">
        <v>14</v>
      </c>
      <c r="B463" t="s">
        <v>5176</v>
      </c>
      <c r="C463" t="s">
        <v>5177</v>
      </c>
      <c r="D463" t="s">
        <v>5212</v>
      </c>
      <c r="E463" t="s">
        <v>5213</v>
      </c>
      <c r="F463" t="s">
        <v>3984</v>
      </c>
      <c r="G463" t="s">
        <v>5214</v>
      </c>
    </row>
    <row r="464" spans="1:7" ht="11.25" customHeight="1">
      <c r="A464" s="301" t="s">
        <v>14</v>
      </c>
      <c r="B464" t="s">
        <v>5176</v>
      </c>
      <c r="C464" t="s">
        <v>5177</v>
      </c>
      <c r="D464" t="s">
        <v>5215</v>
      </c>
      <c r="E464" t="s">
        <v>5216</v>
      </c>
      <c r="F464" t="s">
        <v>3984</v>
      </c>
      <c r="G464" t="s">
        <v>5217</v>
      </c>
    </row>
    <row r="465" spans="1:7" ht="11.25" customHeight="1">
      <c r="A465" s="301" t="s">
        <v>14</v>
      </c>
      <c r="B465" t="s">
        <v>5176</v>
      </c>
      <c r="C465" t="s">
        <v>5177</v>
      </c>
      <c r="D465" t="s">
        <v>5176</v>
      </c>
      <c r="E465" t="s">
        <v>5177</v>
      </c>
      <c r="F465" t="s">
        <v>3903</v>
      </c>
      <c r="G465" t="s">
        <v>5218</v>
      </c>
    </row>
    <row r="466" spans="1:7" ht="11.25" customHeight="1">
      <c r="A466" s="301" t="s">
        <v>14</v>
      </c>
      <c r="B466" t="s">
        <v>5176</v>
      </c>
      <c r="C466" t="s">
        <v>5177</v>
      </c>
      <c r="D466" t="s">
        <v>5219</v>
      </c>
      <c r="E466" t="s">
        <v>5220</v>
      </c>
      <c r="F466" t="s">
        <v>3906</v>
      </c>
      <c r="G466" t="s">
        <v>5221</v>
      </c>
    </row>
    <row r="467" spans="1:7" ht="11.25" customHeight="1">
      <c r="A467" s="301" t="s">
        <v>14</v>
      </c>
      <c r="B467" t="s">
        <v>5176</v>
      </c>
      <c r="C467" t="s">
        <v>5177</v>
      </c>
      <c r="D467" t="s">
        <v>5222</v>
      </c>
      <c r="E467" t="s">
        <v>5223</v>
      </c>
      <c r="F467" t="s">
        <v>3906</v>
      </c>
      <c r="G467" t="s">
        <v>5224</v>
      </c>
    </row>
    <row r="468" spans="1:7" ht="11.25" customHeight="1">
      <c r="A468" s="301" t="s">
        <v>14</v>
      </c>
      <c r="B468" t="s">
        <v>5176</v>
      </c>
      <c r="C468" t="s">
        <v>5177</v>
      </c>
      <c r="D468" t="s">
        <v>4553</v>
      </c>
      <c r="E468" t="s">
        <v>5225</v>
      </c>
      <c r="F468" t="s">
        <v>3906</v>
      </c>
      <c r="G468" t="s">
        <v>5226</v>
      </c>
    </row>
    <row r="469" spans="1:7" ht="11.25" customHeight="1">
      <c r="A469" s="301" t="s">
        <v>14</v>
      </c>
      <c r="B469" t="s">
        <v>5176</v>
      </c>
      <c r="C469" t="s">
        <v>5177</v>
      </c>
      <c r="D469" t="s">
        <v>5227</v>
      </c>
      <c r="E469" t="s">
        <v>5228</v>
      </c>
      <c r="F469" t="s">
        <v>3984</v>
      </c>
      <c r="G469" t="s">
        <v>5229</v>
      </c>
    </row>
    <row r="470" spans="1:7" ht="11.25" customHeight="1">
      <c r="A470" s="301" t="s">
        <v>14</v>
      </c>
      <c r="B470" t="s">
        <v>5230</v>
      </c>
      <c r="C470" t="s">
        <v>5231</v>
      </c>
      <c r="D470" t="s">
        <v>5232</v>
      </c>
      <c r="E470" t="s">
        <v>5233</v>
      </c>
      <c r="F470" t="s">
        <v>3906</v>
      </c>
      <c r="G470" t="s">
        <v>5234</v>
      </c>
    </row>
    <row r="471" spans="1:7" ht="11.25" customHeight="1">
      <c r="A471" s="301" t="s">
        <v>14</v>
      </c>
      <c r="B471" t="s">
        <v>5230</v>
      </c>
      <c r="C471" t="s">
        <v>5231</v>
      </c>
      <c r="D471" t="s">
        <v>5235</v>
      </c>
      <c r="E471" t="s">
        <v>5236</v>
      </c>
      <c r="F471" t="s">
        <v>3906</v>
      </c>
      <c r="G471" t="s">
        <v>5237</v>
      </c>
    </row>
    <row r="472" spans="1:7" ht="11.25" customHeight="1">
      <c r="A472" s="301" t="s">
        <v>14</v>
      </c>
      <c r="B472" t="s">
        <v>5230</v>
      </c>
      <c r="C472" t="s">
        <v>5231</v>
      </c>
      <c r="D472" t="s">
        <v>5238</v>
      </c>
      <c r="E472" t="s">
        <v>5239</v>
      </c>
      <c r="F472" t="s">
        <v>3906</v>
      </c>
      <c r="G472" t="s">
        <v>5240</v>
      </c>
    </row>
    <row r="473" spans="1:7" ht="11.25" customHeight="1">
      <c r="A473" s="301" t="s">
        <v>14</v>
      </c>
      <c r="B473" t="s">
        <v>5230</v>
      </c>
      <c r="C473" t="s">
        <v>5231</v>
      </c>
      <c r="D473" t="s">
        <v>3911</v>
      </c>
      <c r="E473" t="s">
        <v>5241</v>
      </c>
      <c r="F473" t="s">
        <v>3906</v>
      </c>
      <c r="G473" t="s">
        <v>5242</v>
      </c>
    </row>
    <row r="474" spans="1:7" ht="11.25" customHeight="1">
      <c r="A474" s="301" t="s">
        <v>14</v>
      </c>
      <c r="B474" t="s">
        <v>5230</v>
      </c>
      <c r="C474" t="s">
        <v>5231</v>
      </c>
      <c r="D474" t="s">
        <v>5243</v>
      </c>
      <c r="E474" t="s">
        <v>5244</v>
      </c>
      <c r="F474" t="s">
        <v>3906</v>
      </c>
      <c r="G474" t="s">
        <v>5245</v>
      </c>
    </row>
    <row r="475" spans="1:7" ht="11.25" customHeight="1">
      <c r="A475" s="301" t="s">
        <v>14</v>
      </c>
      <c r="B475" t="s">
        <v>5230</v>
      </c>
      <c r="C475" t="s">
        <v>5231</v>
      </c>
      <c r="D475" t="s">
        <v>5246</v>
      </c>
      <c r="E475" t="s">
        <v>5247</v>
      </c>
      <c r="F475" t="s">
        <v>3906</v>
      </c>
      <c r="G475" t="s">
        <v>5248</v>
      </c>
    </row>
    <row r="476" spans="1:7" ht="11.25" customHeight="1">
      <c r="A476" s="301" t="s">
        <v>14</v>
      </c>
      <c r="B476" t="s">
        <v>5230</v>
      </c>
      <c r="C476" t="s">
        <v>5231</v>
      </c>
      <c r="D476" t="s">
        <v>5249</v>
      </c>
      <c r="E476" t="s">
        <v>5250</v>
      </c>
      <c r="F476" t="s">
        <v>3906</v>
      </c>
      <c r="G476" t="s">
        <v>5251</v>
      </c>
    </row>
    <row r="477" spans="1:7" ht="11.25" customHeight="1">
      <c r="A477" s="301" t="s">
        <v>14</v>
      </c>
      <c r="B477" t="s">
        <v>5230</v>
      </c>
      <c r="C477" t="s">
        <v>5231</v>
      </c>
      <c r="D477" t="s">
        <v>5252</v>
      </c>
      <c r="E477" t="s">
        <v>5253</v>
      </c>
      <c r="F477" t="s">
        <v>3906</v>
      </c>
      <c r="G477" t="s">
        <v>5254</v>
      </c>
    </row>
    <row r="478" spans="1:7" ht="11.25" customHeight="1">
      <c r="A478" s="301" t="s">
        <v>14</v>
      </c>
      <c r="B478" t="s">
        <v>5230</v>
      </c>
      <c r="C478" t="s">
        <v>5231</v>
      </c>
      <c r="D478" t="s">
        <v>5255</v>
      </c>
      <c r="E478" t="s">
        <v>5256</v>
      </c>
      <c r="F478" t="s">
        <v>3906</v>
      </c>
      <c r="G478" t="s">
        <v>5257</v>
      </c>
    </row>
    <row r="479" spans="1:7" ht="11.25" customHeight="1">
      <c r="A479" s="301" t="s">
        <v>14</v>
      </c>
      <c r="B479" t="s">
        <v>5230</v>
      </c>
      <c r="C479" t="s">
        <v>5231</v>
      </c>
      <c r="D479" t="s">
        <v>5258</v>
      </c>
      <c r="E479" t="s">
        <v>5259</v>
      </c>
      <c r="F479" t="s">
        <v>3906</v>
      </c>
      <c r="G479" t="s">
        <v>5260</v>
      </c>
    </row>
    <row r="480" spans="1:7" ht="11.25" customHeight="1">
      <c r="A480" s="301" t="s">
        <v>14</v>
      </c>
      <c r="B480" t="s">
        <v>5230</v>
      </c>
      <c r="C480" t="s">
        <v>5231</v>
      </c>
      <c r="D480" t="s">
        <v>5230</v>
      </c>
      <c r="E480" t="s">
        <v>5231</v>
      </c>
      <c r="F480" t="s">
        <v>3903</v>
      </c>
      <c r="G480" t="s">
        <v>5261</v>
      </c>
    </row>
    <row r="481" spans="1:7" ht="11.25" customHeight="1">
      <c r="A481" s="301" t="s">
        <v>14</v>
      </c>
      <c r="B481" t="s">
        <v>5230</v>
      </c>
      <c r="C481" t="s">
        <v>5231</v>
      </c>
      <c r="D481" t="s">
        <v>5262</v>
      </c>
      <c r="E481" t="s">
        <v>5263</v>
      </c>
      <c r="F481" t="s">
        <v>3906</v>
      </c>
      <c r="G481" t="s">
        <v>5264</v>
      </c>
    </row>
    <row r="482" spans="1:7" ht="11.25" customHeight="1">
      <c r="A482" s="301" t="s">
        <v>14</v>
      </c>
      <c r="B482" t="s">
        <v>5230</v>
      </c>
      <c r="C482" t="s">
        <v>5231</v>
      </c>
      <c r="D482" t="s">
        <v>5265</v>
      </c>
      <c r="E482" t="s">
        <v>5266</v>
      </c>
      <c r="F482" t="s">
        <v>3906</v>
      </c>
      <c r="G482" t="s">
        <v>5267</v>
      </c>
    </row>
    <row r="483" spans="1:7" ht="11.25" customHeight="1">
      <c r="A483" s="301" t="s">
        <v>14</v>
      </c>
      <c r="B483" t="s">
        <v>5230</v>
      </c>
      <c r="C483" t="s">
        <v>5231</v>
      </c>
      <c r="D483" t="s">
        <v>5268</v>
      </c>
      <c r="E483" t="s">
        <v>5269</v>
      </c>
      <c r="F483" t="s">
        <v>3906</v>
      </c>
      <c r="G483" t="s">
        <v>5270</v>
      </c>
    </row>
    <row r="484" spans="1:7" ht="11.25" customHeight="1">
      <c r="A484" s="301" t="s">
        <v>14</v>
      </c>
      <c r="B484" t="s">
        <v>5230</v>
      </c>
      <c r="C484" t="s">
        <v>5231</v>
      </c>
      <c r="D484" t="s">
        <v>5271</v>
      </c>
      <c r="E484" t="s">
        <v>5272</v>
      </c>
      <c r="F484" t="s">
        <v>3906</v>
      </c>
      <c r="G484" t="s">
        <v>5273</v>
      </c>
    </row>
    <row r="485" spans="1:7" ht="11.25" customHeight="1">
      <c r="A485" s="301" t="s">
        <v>14</v>
      </c>
      <c r="B485" t="s">
        <v>5274</v>
      </c>
      <c r="C485" t="s">
        <v>5275</v>
      </c>
      <c r="D485" t="s">
        <v>5274</v>
      </c>
      <c r="E485" t="s">
        <v>5275</v>
      </c>
      <c r="F485" t="s">
        <v>3903</v>
      </c>
      <c r="G485" t="s">
        <v>5276</v>
      </c>
    </row>
    <row r="486" spans="1:7" ht="11.25" customHeight="1">
      <c r="A486" s="301" t="s">
        <v>14</v>
      </c>
      <c r="B486" t="s">
        <v>5277</v>
      </c>
      <c r="C486" t="s">
        <v>5278</v>
      </c>
      <c r="D486" t="s">
        <v>5279</v>
      </c>
      <c r="E486" t="s">
        <v>5280</v>
      </c>
      <c r="F486" t="s">
        <v>3906</v>
      </c>
      <c r="G486" t="s">
        <v>5281</v>
      </c>
    </row>
    <row r="487" spans="1:7" ht="11.25" customHeight="1">
      <c r="A487" s="301" t="s">
        <v>14</v>
      </c>
      <c r="B487" t="s">
        <v>5277</v>
      </c>
      <c r="C487" t="s">
        <v>5278</v>
      </c>
      <c r="D487" t="s">
        <v>5282</v>
      </c>
      <c r="E487" t="s">
        <v>5283</v>
      </c>
      <c r="F487" t="s">
        <v>3906</v>
      </c>
      <c r="G487" t="s">
        <v>5284</v>
      </c>
    </row>
    <row r="488" spans="1:7" ht="11.25" customHeight="1">
      <c r="A488" s="301" t="s">
        <v>14</v>
      </c>
      <c r="B488" t="s">
        <v>5277</v>
      </c>
      <c r="C488" t="s">
        <v>5278</v>
      </c>
      <c r="D488" t="s">
        <v>5285</v>
      </c>
      <c r="E488" t="s">
        <v>5286</v>
      </c>
      <c r="F488" t="s">
        <v>3906</v>
      </c>
      <c r="G488" t="s">
        <v>5287</v>
      </c>
    </row>
    <row r="489" spans="1:7" ht="11.25" customHeight="1">
      <c r="A489" s="301" t="s">
        <v>14</v>
      </c>
      <c r="B489" t="s">
        <v>5277</v>
      </c>
      <c r="C489" t="s">
        <v>5278</v>
      </c>
      <c r="D489" t="s">
        <v>5288</v>
      </c>
      <c r="E489" t="s">
        <v>5289</v>
      </c>
      <c r="F489" t="s">
        <v>3906</v>
      </c>
      <c r="G489" t="s">
        <v>5290</v>
      </c>
    </row>
    <row r="490" spans="1:7" ht="11.25" customHeight="1">
      <c r="A490" s="301" t="s">
        <v>14</v>
      </c>
      <c r="B490" t="s">
        <v>5277</v>
      </c>
      <c r="C490" t="s">
        <v>5278</v>
      </c>
      <c r="D490" t="s">
        <v>5291</v>
      </c>
      <c r="E490" t="s">
        <v>5292</v>
      </c>
      <c r="F490" t="s">
        <v>3906</v>
      </c>
      <c r="G490" t="s">
        <v>5293</v>
      </c>
    </row>
    <row r="491" spans="1:7" ht="11.25" customHeight="1">
      <c r="A491" s="301" t="s">
        <v>14</v>
      </c>
      <c r="B491" t="s">
        <v>5277</v>
      </c>
      <c r="C491" t="s">
        <v>5278</v>
      </c>
      <c r="D491" t="s">
        <v>5294</v>
      </c>
      <c r="E491" t="s">
        <v>5295</v>
      </c>
      <c r="F491" t="s">
        <v>3906</v>
      </c>
      <c r="G491" t="s">
        <v>5296</v>
      </c>
    </row>
    <row r="492" spans="1:7" ht="11.25" customHeight="1">
      <c r="A492" s="301" t="s">
        <v>14</v>
      </c>
      <c r="B492" t="s">
        <v>5277</v>
      </c>
      <c r="C492" t="s">
        <v>5278</v>
      </c>
      <c r="D492" t="s">
        <v>5297</v>
      </c>
      <c r="E492" t="s">
        <v>5298</v>
      </c>
      <c r="F492" t="s">
        <v>3906</v>
      </c>
      <c r="G492" t="s">
        <v>5299</v>
      </c>
    </row>
    <row r="493" spans="1:7" ht="11.25" customHeight="1">
      <c r="A493" s="301" t="s">
        <v>14</v>
      </c>
      <c r="B493" t="s">
        <v>5277</v>
      </c>
      <c r="C493" t="s">
        <v>5278</v>
      </c>
      <c r="D493" t="s">
        <v>5277</v>
      </c>
      <c r="E493" t="s">
        <v>5278</v>
      </c>
      <c r="F493" t="s">
        <v>3903</v>
      </c>
      <c r="G493" t="s">
        <v>5300</v>
      </c>
    </row>
    <row r="494" spans="1:7" ht="11.25" customHeight="1">
      <c r="A494" s="301" t="s">
        <v>14</v>
      </c>
      <c r="B494" t="s">
        <v>5277</v>
      </c>
      <c r="C494" t="s">
        <v>5278</v>
      </c>
      <c r="D494" t="s">
        <v>5301</v>
      </c>
      <c r="E494" t="s">
        <v>5302</v>
      </c>
      <c r="F494" t="s">
        <v>3906</v>
      </c>
      <c r="G494" t="s">
        <v>5303</v>
      </c>
    </row>
    <row r="495" spans="1:7" ht="11.25" customHeight="1">
      <c r="A495" s="301" t="s">
        <v>14</v>
      </c>
      <c r="B495" t="s">
        <v>5277</v>
      </c>
      <c r="C495" t="s">
        <v>5278</v>
      </c>
      <c r="D495" t="s">
        <v>5304</v>
      </c>
      <c r="E495" t="s">
        <v>5305</v>
      </c>
      <c r="F495" t="s">
        <v>3906</v>
      </c>
      <c r="G495" t="s">
        <v>5306</v>
      </c>
    </row>
    <row r="496" spans="1:7" ht="11.25" customHeight="1">
      <c r="A496" s="301" t="s">
        <v>14</v>
      </c>
      <c r="B496" t="s">
        <v>5307</v>
      </c>
      <c r="C496" t="s">
        <v>5308</v>
      </c>
      <c r="D496" t="s">
        <v>5309</v>
      </c>
      <c r="E496" t="s">
        <v>5310</v>
      </c>
      <c r="F496" t="s">
        <v>3984</v>
      </c>
      <c r="G496" t="s">
        <v>5311</v>
      </c>
    </row>
    <row r="497" spans="1:7" ht="11.25" customHeight="1">
      <c r="A497" s="301" t="s">
        <v>14</v>
      </c>
      <c r="B497" t="s">
        <v>5307</v>
      </c>
      <c r="C497" t="s">
        <v>5308</v>
      </c>
      <c r="D497" t="s">
        <v>5312</v>
      </c>
      <c r="E497" t="s">
        <v>5313</v>
      </c>
      <c r="F497" t="s">
        <v>4512</v>
      </c>
      <c r="G497" t="s">
        <v>5314</v>
      </c>
    </row>
    <row r="498" spans="1:7" ht="11.25" customHeight="1">
      <c r="A498" s="301" t="s">
        <v>14</v>
      </c>
      <c r="B498" t="s">
        <v>5307</v>
      </c>
      <c r="C498" t="s">
        <v>5308</v>
      </c>
      <c r="D498" t="s">
        <v>5315</v>
      </c>
      <c r="E498" t="s">
        <v>5316</v>
      </c>
      <c r="F498" t="s">
        <v>3906</v>
      </c>
      <c r="G498" t="s">
        <v>5317</v>
      </c>
    </row>
    <row r="499" spans="1:7" ht="11.25" customHeight="1">
      <c r="A499" s="301" t="s">
        <v>14</v>
      </c>
      <c r="B499" t="s">
        <v>5307</v>
      </c>
      <c r="C499" t="s">
        <v>5308</v>
      </c>
      <c r="D499" t="s">
        <v>5307</v>
      </c>
      <c r="E499" t="s">
        <v>5308</v>
      </c>
      <c r="F499" t="s">
        <v>3903</v>
      </c>
      <c r="G499" t="s">
        <v>5318</v>
      </c>
    </row>
    <row r="500" spans="1:7" ht="11.25" customHeight="1">
      <c r="A500" s="301" t="s">
        <v>14</v>
      </c>
      <c r="B500" t="s">
        <v>5307</v>
      </c>
      <c r="C500" t="s">
        <v>5308</v>
      </c>
      <c r="D500" t="s">
        <v>5319</v>
      </c>
      <c r="E500" t="s">
        <v>5320</v>
      </c>
      <c r="F500" t="s">
        <v>3906</v>
      </c>
      <c r="G500" t="s">
        <v>5321</v>
      </c>
    </row>
    <row r="501" spans="1:7" ht="11.25" customHeight="1">
      <c r="A501" s="301" t="s">
        <v>14</v>
      </c>
      <c r="B501" t="s">
        <v>5322</v>
      </c>
      <c r="C501" t="s">
        <v>5323</v>
      </c>
      <c r="D501" t="s">
        <v>5324</v>
      </c>
      <c r="E501" t="s">
        <v>5325</v>
      </c>
      <c r="F501" t="s">
        <v>3906</v>
      </c>
      <c r="G501" t="s">
        <v>5326</v>
      </c>
    </row>
    <row r="502" spans="1:7" ht="11.25" customHeight="1">
      <c r="A502" s="301" t="s">
        <v>14</v>
      </c>
      <c r="B502" t="s">
        <v>5322</v>
      </c>
      <c r="C502" t="s">
        <v>5323</v>
      </c>
      <c r="D502" t="s">
        <v>5327</v>
      </c>
      <c r="E502" t="s">
        <v>5328</v>
      </c>
      <c r="F502" t="s">
        <v>3906</v>
      </c>
      <c r="G502" t="s">
        <v>5329</v>
      </c>
    </row>
    <row r="503" spans="1:7" ht="11.25" customHeight="1">
      <c r="A503" s="301" t="s">
        <v>14</v>
      </c>
      <c r="B503" t="s">
        <v>5322</v>
      </c>
      <c r="C503" t="s">
        <v>5323</v>
      </c>
      <c r="D503" t="s">
        <v>5330</v>
      </c>
      <c r="E503" t="s">
        <v>5331</v>
      </c>
      <c r="F503" t="s">
        <v>3906</v>
      </c>
      <c r="G503" t="s">
        <v>5332</v>
      </c>
    </row>
    <row r="504" spans="1:7" ht="11.25" customHeight="1">
      <c r="A504" s="301" t="s">
        <v>14</v>
      </c>
      <c r="B504" t="s">
        <v>5322</v>
      </c>
      <c r="C504" t="s">
        <v>5323</v>
      </c>
      <c r="D504" t="s">
        <v>5333</v>
      </c>
      <c r="E504" t="s">
        <v>5334</v>
      </c>
      <c r="F504" t="s">
        <v>3906</v>
      </c>
      <c r="G504" t="s">
        <v>5335</v>
      </c>
    </row>
    <row r="505" spans="1:7" ht="11.25" customHeight="1">
      <c r="A505" s="301" t="s">
        <v>14</v>
      </c>
      <c r="B505" t="s">
        <v>5322</v>
      </c>
      <c r="C505" t="s">
        <v>5323</v>
      </c>
      <c r="D505" t="s">
        <v>5322</v>
      </c>
      <c r="E505" t="s">
        <v>5323</v>
      </c>
      <c r="F505" t="s">
        <v>3903</v>
      </c>
      <c r="G505" t="s">
        <v>5336</v>
      </c>
    </row>
    <row r="506" spans="1:7" ht="11.25" customHeight="1">
      <c r="A506" s="301" t="s">
        <v>14</v>
      </c>
      <c r="B506" t="s">
        <v>5322</v>
      </c>
      <c r="C506" t="s">
        <v>5323</v>
      </c>
      <c r="D506" t="s">
        <v>5337</v>
      </c>
      <c r="E506" t="s">
        <v>5338</v>
      </c>
      <c r="F506" t="s">
        <v>3906</v>
      </c>
      <c r="G506" t="s">
        <v>5339</v>
      </c>
    </row>
    <row r="507" spans="1:7" ht="11.25" customHeight="1">
      <c r="A507" s="301" t="s">
        <v>14</v>
      </c>
      <c r="B507" t="s">
        <v>5322</v>
      </c>
      <c r="C507" t="s">
        <v>5323</v>
      </c>
      <c r="D507" t="s">
        <v>5340</v>
      </c>
      <c r="E507" t="s">
        <v>5341</v>
      </c>
      <c r="F507" t="s">
        <v>3906</v>
      </c>
      <c r="G507" t="s">
        <v>5342</v>
      </c>
    </row>
    <row r="508" spans="1:7" ht="11.25" customHeight="1">
      <c r="A508" s="301" t="s">
        <v>14</v>
      </c>
      <c r="B508" t="s">
        <v>5322</v>
      </c>
      <c r="C508" t="s">
        <v>5323</v>
      </c>
      <c r="D508" t="s">
        <v>5343</v>
      </c>
      <c r="E508" t="s">
        <v>5344</v>
      </c>
      <c r="F508" t="s">
        <v>3906</v>
      </c>
      <c r="G508" t="s">
        <v>5345</v>
      </c>
    </row>
    <row r="509" spans="1:7" ht="11.25" customHeight="1">
      <c r="A509" s="301" t="s">
        <v>14</v>
      </c>
      <c r="B509" t="s">
        <v>5322</v>
      </c>
      <c r="C509" t="s">
        <v>5323</v>
      </c>
      <c r="D509" t="s">
        <v>3935</v>
      </c>
      <c r="E509" t="s">
        <v>5346</v>
      </c>
      <c r="F509" t="s">
        <v>3906</v>
      </c>
      <c r="G509" t="s">
        <v>5347</v>
      </c>
    </row>
    <row r="510" spans="1:7" ht="11.25" customHeight="1">
      <c r="A510" s="301" t="s">
        <v>14</v>
      </c>
      <c r="B510" t="s">
        <v>5348</v>
      </c>
      <c r="C510" t="s">
        <v>5349</v>
      </c>
      <c r="D510" t="s">
        <v>5282</v>
      </c>
      <c r="E510" t="s">
        <v>5350</v>
      </c>
      <c r="F510" t="s">
        <v>3906</v>
      </c>
      <c r="G510" t="s">
        <v>5351</v>
      </c>
    </row>
    <row r="511" spans="1:7" ht="11.25" customHeight="1">
      <c r="A511" s="301" t="s">
        <v>14</v>
      </c>
      <c r="B511" t="s">
        <v>5348</v>
      </c>
      <c r="C511" t="s">
        <v>5349</v>
      </c>
      <c r="D511" t="s">
        <v>5352</v>
      </c>
      <c r="E511" t="s">
        <v>5353</v>
      </c>
      <c r="F511" t="s">
        <v>3906</v>
      </c>
      <c r="G511" t="s">
        <v>5354</v>
      </c>
    </row>
    <row r="512" spans="1:7" ht="11.25" customHeight="1">
      <c r="A512" s="301" t="s">
        <v>14</v>
      </c>
      <c r="B512" t="s">
        <v>5348</v>
      </c>
      <c r="C512" t="s">
        <v>5349</v>
      </c>
      <c r="D512" t="s">
        <v>5355</v>
      </c>
      <c r="E512" t="s">
        <v>5356</v>
      </c>
      <c r="F512" t="s">
        <v>3906</v>
      </c>
      <c r="G512" t="s">
        <v>5357</v>
      </c>
    </row>
    <row r="513" spans="1:7" ht="11.25" customHeight="1">
      <c r="A513" s="301" t="s">
        <v>14</v>
      </c>
      <c r="B513" t="s">
        <v>5348</v>
      </c>
      <c r="C513" t="s">
        <v>5349</v>
      </c>
      <c r="D513" t="s">
        <v>5358</v>
      </c>
      <c r="E513" t="s">
        <v>5359</v>
      </c>
      <c r="F513" t="s">
        <v>4512</v>
      </c>
      <c r="G513" t="s">
        <v>5360</v>
      </c>
    </row>
    <row r="514" spans="1:7" ht="11.25" customHeight="1">
      <c r="A514" s="301" t="s">
        <v>14</v>
      </c>
      <c r="B514" t="s">
        <v>5348</v>
      </c>
      <c r="C514" t="s">
        <v>5349</v>
      </c>
      <c r="D514" t="s">
        <v>5361</v>
      </c>
      <c r="E514" t="s">
        <v>5362</v>
      </c>
      <c r="F514" t="s">
        <v>3906</v>
      </c>
      <c r="G514" t="s">
        <v>5363</v>
      </c>
    </row>
    <row r="515" spans="1:7" ht="11.25" customHeight="1">
      <c r="A515" s="301" t="s">
        <v>14</v>
      </c>
      <c r="B515" t="s">
        <v>5348</v>
      </c>
      <c r="C515" t="s">
        <v>5349</v>
      </c>
      <c r="D515" t="s">
        <v>5364</v>
      </c>
      <c r="E515" t="s">
        <v>5365</v>
      </c>
      <c r="F515" t="s">
        <v>4075</v>
      </c>
      <c r="G515" t="s">
        <v>5366</v>
      </c>
    </row>
    <row r="516" spans="1:7" ht="11.25" customHeight="1">
      <c r="A516" s="301" t="s">
        <v>14</v>
      </c>
      <c r="B516" t="s">
        <v>5348</v>
      </c>
      <c r="C516" t="s">
        <v>5349</v>
      </c>
      <c r="D516" t="s">
        <v>5367</v>
      </c>
      <c r="E516" t="s">
        <v>5368</v>
      </c>
      <c r="F516" t="s">
        <v>3906</v>
      </c>
      <c r="G516" t="s">
        <v>5369</v>
      </c>
    </row>
    <row r="517" spans="1:7" ht="11.25" customHeight="1">
      <c r="A517" s="301" t="s">
        <v>14</v>
      </c>
      <c r="B517" t="s">
        <v>5348</v>
      </c>
      <c r="C517" t="s">
        <v>5349</v>
      </c>
      <c r="D517" t="s">
        <v>5348</v>
      </c>
      <c r="E517" t="s">
        <v>5349</v>
      </c>
      <c r="F517" t="s">
        <v>3903</v>
      </c>
      <c r="G517" t="s">
        <v>5370</v>
      </c>
    </row>
    <row r="518" spans="1:7" ht="11.25" customHeight="1">
      <c r="A518" s="301" t="s">
        <v>14</v>
      </c>
      <c r="B518" t="s">
        <v>5348</v>
      </c>
      <c r="C518" t="s">
        <v>5349</v>
      </c>
      <c r="D518" t="s">
        <v>5371</v>
      </c>
      <c r="E518" t="s">
        <v>5372</v>
      </c>
      <c r="F518" t="s">
        <v>3906</v>
      </c>
      <c r="G518" t="s">
        <v>5373</v>
      </c>
    </row>
    <row r="519" spans="1:7" ht="11.25" customHeight="1">
      <c r="A519" s="301" t="s">
        <v>14</v>
      </c>
      <c r="B519" t="s">
        <v>5348</v>
      </c>
      <c r="C519" t="s">
        <v>5349</v>
      </c>
      <c r="D519" t="s">
        <v>5374</v>
      </c>
      <c r="E519" t="s">
        <v>5375</v>
      </c>
      <c r="F519" t="s">
        <v>3984</v>
      </c>
      <c r="G519" t="s">
        <v>5376</v>
      </c>
    </row>
    <row r="520" spans="1:7" ht="11.25" customHeight="1">
      <c r="A520" s="301" t="s">
        <v>14</v>
      </c>
      <c r="B520" t="s">
        <v>5377</v>
      </c>
      <c r="C520" t="s">
        <v>5378</v>
      </c>
      <c r="D520" t="s">
        <v>5377</v>
      </c>
      <c r="E520" t="s">
        <v>5378</v>
      </c>
      <c r="F520" t="s">
        <v>5138</v>
      </c>
      <c r="G520" t="s">
        <v>5379</v>
      </c>
    </row>
    <row r="521" spans="1:7" ht="11.25" customHeight="1">
      <c r="A521" s="301" t="s">
        <v>14</v>
      </c>
      <c r="B521" t="s">
        <v>5380</v>
      </c>
      <c r="C521" t="s">
        <v>5381</v>
      </c>
      <c r="D521" t="s">
        <v>5382</v>
      </c>
      <c r="E521" t="s">
        <v>5383</v>
      </c>
      <c r="F521" t="s">
        <v>3906</v>
      </c>
      <c r="G521" t="s">
        <v>5384</v>
      </c>
    </row>
    <row r="522" spans="1:7" ht="11.25" customHeight="1">
      <c r="A522" s="301" t="s">
        <v>14</v>
      </c>
      <c r="B522" t="s">
        <v>5380</v>
      </c>
      <c r="C522" t="s">
        <v>5381</v>
      </c>
      <c r="D522" t="s">
        <v>5385</v>
      </c>
      <c r="E522" t="s">
        <v>5386</v>
      </c>
      <c r="F522" t="s">
        <v>3906</v>
      </c>
      <c r="G522" t="s">
        <v>5387</v>
      </c>
    </row>
    <row r="523" spans="1:7" ht="11.25" customHeight="1">
      <c r="A523" s="301" t="s">
        <v>14</v>
      </c>
      <c r="B523" t="s">
        <v>5380</v>
      </c>
      <c r="C523" t="s">
        <v>5381</v>
      </c>
      <c r="D523" t="s">
        <v>5388</v>
      </c>
      <c r="E523" t="s">
        <v>5389</v>
      </c>
      <c r="F523" t="s">
        <v>3906</v>
      </c>
      <c r="G523" t="s">
        <v>5390</v>
      </c>
    </row>
    <row r="524" spans="1:7" ht="11.25" customHeight="1">
      <c r="A524" s="301" t="s">
        <v>14</v>
      </c>
      <c r="B524" t="s">
        <v>5380</v>
      </c>
      <c r="C524" t="s">
        <v>5381</v>
      </c>
      <c r="D524" t="s">
        <v>5391</v>
      </c>
      <c r="E524" t="s">
        <v>5392</v>
      </c>
      <c r="F524" t="s">
        <v>3906</v>
      </c>
      <c r="G524" t="s">
        <v>5393</v>
      </c>
    </row>
    <row r="525" spans="1:7" ht="11.25" customHeight="1">
      <c r="A525" s="301" t="s">
        <v>14</v>
      </c>
      <c r="B525" t="s">
        <v>5380</v>
      </c>
      <c r="C525" t="s">
        <v>5381</v>
      </c>
      <c r="D525" t="s">
        <v>5394</v>
      </c>
      <c r="E525" t="s">
        <v>5395</v>
      </c>
      <c r="F525" t="s">
        <v>3906</v>
      </c>
      <c r="G525" t="s">
        <v>5396</v>
      </c>
    </row>
    <row r="526" spans="1:7" ht="11.25" customHeight="1">
      <c r="A526" s="301" t="s">
        <v>14</v>
      </c>
      <c r="B526" t="s">
        <v>5380</v>
      </c>
      <c r="C526" t="s">
        <v>5381</v>
      </c>
      <c r="D526" t="s">
        <v>5397</v>
      </c>
      <c r="E526" t="s">
        <v>5398</v>
      </c>
      <c r="F526" t="s">
        <v>3906</v>
      </c>
      <c r="G526" t="s">
        <v>5399</v>
      </c>
    </row>
    <row r="527" spans="1:7" ht="11.25" customHeight="1">
      <c r="A527" s="301" t="s">
        <v>14</v>
      </c>
      <c r="B527" t="s">
        <v>5380</v>
      </c>
      <c r="C527" t="s">
        <v>5381</v>
      </c>
      <c r="D527" t="s">
        <v>5400</v>
      </c>
      <c r="E527" t="s">
        <v>5401</v>
      </c>
      <c r="F527" t="s">
        <v>3906</v>
      </c>
      <c r="G527" t="s">
        <v>5402</v>
      </c>
    </row>
    <row r="528" spans="1:7" ht="11.25" customHeight="1">
      <c r="A528" s="301" t="s">
        <v>14</v>
      </c>
      <c r="B528" t="s">
        <v>5380</v>
      </c>
      <c r="C528" t="s">
        <v>5381</v>
      </c>
      <c r="D528" t="s">
        <v>5403</v>
      </c>
      <c r="E528" t="s">
        <v>5404</v>
      </c>
      <c r="F528" t="s">
        <v>3906</v>
      </c>
      <c r="G528" t="s">
        <v>5405</v>
      </c>
    </row>
    <row r="529" spans="1:7" ht="11.25" customHeight="1">
      <c r="A529" s="301" t="s">
        <v>14</v>
      </c>
      <c r="B529" t="s">
        <v>5380</v>
      </c>
      <c r="C529" t="s">
        <v>5381</v>
      </c>
      <c r="D529" t="s">
        <v>5380</v>
      </c>
      <c r="E529" t="s">
        <v>5381</v>
      </c>
      <c r="F529" t="s">
        <v>3903</v>
      </c>
      <c r="G529" t="s">
        <v>5406</v>
      </c>
    </row>
    <row r="530" spans="1:7" ht="11.25" customHeight="1">
      <c r="A530" s="301" t="s">
        <v>14</v>
      </c>
      <c r="B530" t="s">
        <v>5380</v>
      </c>
      <c r="C530" t="s">
        <v>5381</v>
      </c>
      <c r="D530" t="s">
        <v>5407</v>
      </c>
      <c r="E530" t="s">
        <v>5408</v>
      </c>
      <c r="F530" t="s">
        <v>3906</v>
      </c>
      <c r="G530" t="s">
        <v>5409</v>
      </c>
    </row>
    <row r="531" spans="1:7" ht="11.25" customHeight="1">
      <c r="A531" s="301" t="s">
        <v>14</v>
      </c>
      <c r="B531" t="s">
        <v>5380</v>
      </c>
      <c r="C531" t="s">
        <v>5381</v>
      </c>
      <c r="D531" t="s">
        <v>5410</v>
      </c>
      <c r="E531" t="s">
        <v>5411</v>
      </c>
      <c r="F531" t="s">
        <v>3906</v>
      </c>
      <c r="G531" t="s">
        <v>5412</v>
      </c>
    </row>
    <row r="532" spans="1:7" ht="11.25" customHeight="1">
      <c r="A532" s="301" t="s">
        <v>14</v>
      </c>
      <c r="B532" t="s">
        <v>5413</v>
      </c>
      <c r="C532" t="s">
        <v>5414</v>
      </c>
      <c r="D532" t="s">
        <v>5415</v>
      </c>
      <c r="E532" t="s">
        <v>5416</v>
      </c>
      <c r="F532" t="s">
        <v>3906</v>
      </c>
      <c r="G532" t="s">
        <v>5417</v>
      </c>
    </row>
    <row r="533" spans="1:7" ht="11.25" customHeight="1">
      <c r="A533" s="301" t="s">
        <v>14</v>
      </c>
      <c r="B533" t="s">
        <v>5413</v>
      </c>
      <c r="C533" t="s">
        <v>5414</v>
      </c>
      <c r="D533" t="s">
        <v>5418</v>
      </c>
      <c r="E533" t="s">
        <v>5419</v>
      </c>
      <c r="F533" t="s">
        <v>4512</v>
      </c>
      <c r="G533" t="s">
        <v>5420</v>
      </c>
    </row>
    <row r="534" spans="1:7" ht="11.25" customHeight="1">
      <c r="A534" s="301" t="s">
        <v>14</v>
      </c>
      <c r="B534" t="s">
        <v>5413</v>
      </c>
      <c r="C534" t="s">
        <v>5414</v>
      </c>
      <c r="D534" t="s">
        <v>5421</v>
      </c>
      <c r="E534" t="s">
        <v>5422</v>
      </c>
      <c r="F534" t="s">
        <v>3906</v>
      </c>
      <c r="G534" t="s">
        <v>5423</v>
      </c>
    </row>
    <row r="535" spans="1:7" ht="11.25" customHeight="1">
      <c r="A535" s="301" t="s">
        <v>14</v>
      </c>
      <c r="B535" t="s">
        <v>5413</v>
      </c>
      <c r="C535" t="s">
        <v>5414</v>
      </c>
      <c r="D535" t="s">
        <v>5424</v>
      </c>
      <c r="E535" t="s">
        <v>5425</v>
      </c>
      <c r="F535" t="s">
        <v>3906</v>
      </c>
      <c r="G535" t="s">
        <v>5426</v>
      </c>
    </row>
    <row r="536" spans="1:7" ht="11.25" customHeight="1">
      <c r="A536" s="301" t="s">
        <v>14</v>
      </c>
      <c r="B536" t="s">
        <v>5413</v>
      </c>
      <c r="C536" t="s">
        <v>5414</v>
      </c>
      <c r="D536" t="s">
        <v>5427</v>
      </c>
      <c r="E536" t="s">
        <v>5428</v>
      </c>
      <c r="F536" t="s">
        <v>3906</v>
      </c>
      <c r="G536" t="s">
        <v>5429</v>
      </c>
    </row>
    <row r="537" spans="1:7" ht="11.25" customHeight="1">
      <c r="A537" s="301" t="s">
        <v>14</v>
      </c>
      <c r="B537" t="s">
        <v>5413</v>
      </c>
      <c r="C537" t="s">
        <v>5414</v>
      </c>
      <c r="D537" t="s">
        <v>5430</v>
      </c>
      <c r="E537" t="s">
        <v>5431</v>
      </c>
      <c r="F537" t="s">
        <v>3906</v>
      </c>
      <c r="G537" t="s">
        <v>5432</v>
      </c>
    </row>
    <row r="538" spans="1:7" ht="11.25" customHeight="1">
      <c r="A538" s="301" t="s">
        <v>14</v>
      </c>
      <c r="B538" t="s">
        <v>5413</v>
      </c>
      <c r="C538" t="s">
        <v>5414</v>
      </c>
      <c r="D538" t="s">
        <v>5433</v>
      </c>
      <c r="E538" t="s">
        <v>5434</v>
      </c>
      <c r="F538" t="s">
        <v>3906</v>
      </c>
      <c r="G538" t="s">
        <v>5435</v>
      </c>
    </row>
    <row r="539" spans="1:7" ht="11.25" customHeight="1">
      <c r="A539" s="301" t="s">
        <v>14</v>
      </c>
      <c r="B539" t="s">
        <v>5413</v>
      </c>
      <c r="C539" t="s">
        <v>5414</v>
      </c>
      <c r="D539" t="s">
        <v>5436</v>
      </c>
      <c r="E539" t="s">
        <v>5437</v>
      </c>
      <c r="F539" t="s">
        <v>3906</v>
      </c>
      <c r="G539" t="s">
        <v>5438</v>
      </c>
    </row>
    <row r="540" spans="1:7" ht="11.25" customHeight="1">
      <c r="A540" s="301" t="s">
        <v>14</v>
      </c>
      <c r="B540" t="s">
        <v>5413</v>
      </c>
      <c r="C540" t="s">
        <v>5414</v>
      </c>
      <c r="D540" t="s">
        <v>4260</v>
      </c>
      <c r="E540" t="s">
        <v>5439</v>
      </c>
      <c r="F540" t="s">
        <v>3906</v>
      </c>
      <c r="G540" t="s">
        <v>5440</v>
      </c>
    </row>
    <row r="541" spans="1:7" ht="11.25" customHeight="1">
      <c r="A541" s="301" t="s">
        <v>14</v>
      </c>
      <c r="B541" t="s">
        <v>5413</v>
      </c>
      <c r="C541" t="s">
        <v>5414</v>
      </c>
      <c r="D541" t="s">
        <v>5441</v>
      </c>
      <c r="E541" t="s">
        <v>5442</v>
      </c>
      <c r="F541" t="s">
        <v>3906</v>
      </c>
      <c r="G541" t="s">
        <v>5443</v>
      </c>
    </row>
    <row r="542" spans="1:7" ht="11.25" customHeight="1">
      <c r="A542" s="301" t="s">
        <v>14</v>
      </c>
      <c r="B542" t="s">
        <v>5413</v>
      </c>
      <c r="C542" t="s">
        <v>5414</v>
      </c>
      <c r="D542" t="s">
        <v>5444</v>
      </c>
      <c r="E542" t="s">
        <v>5445</v>
      </c>
      <c r="F542" t="s">
        <v>3906</v>
      </c>
      <c r="G542" t="s">
        <v>5446</v>
      </c>
    </row>
    <row r="543" spans="1:7" ht="11.25" customHeight="1">
      <c r="A543" s="301" t="s">
        <v>14</v>
      </c>
      <c r="B543" t="s">
        <v>5413</v>
      </c>
      <c r="C543" t="s">
        <v>5414</v>
      </c>
      <c r="D543" t="s">
        <v>5447</v>
      </c>
      <c r="E543" t="s">
        <v>5448</v>
      </c>
      <c r="F543" t="s">
        <v>3906</v>
      </c>
      <c r="G543" t="s">
        <v>5449</v>
      </c>
    </row>
    <row r="544" spans="1:7" ht="11.25" customHeight="1">
      <c r="A544" s="301" t="s">
        <v>14</v>
      </c>
      <c r="B544" t="s">
        <v>5413</v>
      </c>
      <c r="C544" t="s">
        <v>5414</v>
      </c>
      <c r="D544" t="s">
        <v>5450</v>
      </c>
      <c r="E544" t="s">
        <v>5451</v>
      </c>
      <c r="F544" t="s">
        <v>3906</v>
      </c>
      <c r="G544" t="s">
        <v>5452</v>
      </c>
    </row>
    <row r="545" spans="1:7" ht="11.25" customHeight="1">
      <c r="A545" s="301" t="s">
        <v>14</v>
      </c>
      <c r="B545" t="s">
        <v>5413</v>
      </c>
      <c r="C545" t="s">
        <v>5414</v>
      </c>
      <c r="D545" t="s">
        <v>5413</v>
      </c>
      <c r="E545" t="s">
        <v>5414</v>
      </c>
      <c r="F545" t="s">
        <v>3903</v>
      </c>
      <c r="G545" t="s">
        <v>5453</v>
      </c>
    </row>
    <row r="546" spans="1:7" ht="11.25" customHeight="1">
      <c r="A546" s="301" t="s">
        <v>14</v>
      </c>
      <c r="B546" t="s">
        <v>5454</v>
      </c>
      <c r="C546" t="s">
        <v>5455</v>
      </c>
      <c r="D546" t="s">
        <v>5456</v>
      </c>
      <c r="E546" t="s">
        <v>5457</v>
      </c>
      <c r="F546" t="s">
        <v>3906</v>
      </c>
      <c r="G546" t="s">
        <v>5458</v>
      </c>
    </row>
    <row r="547" spans="1:7" ht="11.25" customHeight="1">
      <c r="A547" s="301" t="s">
        <v>14</v>
      </c>
      <c r="B547" t="s">
        <v>5454</v>
      </c>
      <c r="C547" t="s">
        <v>5455</v>
      </c>
      <c r="D547" t="s">
        <v>5459</v>
      </c>
      <c r="E547" t="s">
        <v>5460</v>
      </c>
      <c r="F547" t="s">
        <v>3906</v>
      </c>
      <c r="G547" t="s">
        <v>5461</v>
      </c>
    </row>
    <row r="548" spans="1:7" ht="11.25" customHeight="1">
      <c r="A548" s="301" t="s">
        <v>14</v>
      </c>
      <c r="B548" t="s">
        <v>5454</v>
      </c>
      <c r="C548" t="s">
        <v>5455</v>
      </c>
      <c r="D548" t="s">
        <v>5462</v>
      </c>
      <c r="E548" t="s">
        <v>5463</v>
      </c>
      <c r="F548" t="s">
        <v>3906</v>
      </c>
      <c r="G548" t="s">
        <v>5464</v>
      </c>
    </row>
    <row r="549" spans="1:7" ht="11.25" customHeight="1">
      <c r="A549" s="301" t="s">
        <v>14</v>
      </c>
      <c r="B549" t="s">
        <v>5454</v>
      </c>
      <c r="C549" t="s">
        <v>5455</v>
      </c>
      <c r="D549" t="s">
        <v>5465</v>
      </c>
      <c r="E549" t="s">
        <v>5466</v>
      </c>
      <c r="F549" t="s">
        <v>4512</v>
      </c>
      <c r="G549" t="s">
        <v>5467</v>
      </c>
    </row>
    <row r="550" spans="1:7" ht="11.25" customHeight="1">
      <c r="A550" s="301" t="s">
        <v>14</v>
      </c>
      <c r="B550" t="s">
        <v>5454</v>
      </c>
      <c r="C550" t="s">
        <v>5455</v>
      </c>
      <c r="D550" t="s">
        <v>5468</v>
      </c>
      <c r="E550" t="s">
        <v>5469</v>
      </c>
      <c r="F550" t="s">
        <v>3906</v>
      </c>
      <c r="G550" t="s">
        <v>5470</v>
      </c>
    </row>
    <row r="551" spans="1:7" ht="11.25" customHeight="1">
      <c r="A551" s="301" t="s">
        <v>14</v>
      </c>
      <c r="B551" t="s">
        <v>5454</v>
      </c>
      <c r="C551" t="s">
        <v>5455</v>
      </c>
      <c r="D551" t="s">
        <v>5471</v>
      </c>
      <c r="E551" t="s">
        <v>5472</v>
      </c>
      <c r="F551" t="s">
        <v>3906</v>
      </c>
      <c r="G551" t="s">
        <v>5473</v>
      </c>
    </row>
    <row r="552" spans="1:7" ht="11.25" customHeight="1">
      <c r="A552" s="301" t="s">
        <v>14</v>
      </c>
      <c r="B552" t="s">
        <v>5454</v>
      </c>
      <c r="C552" t="s">
        <v>5455</v>
      </c>
      <c r="D552" t="s">
        <v>5474</v>
      </c>
      <c r="E552" t="s">
        <v>5475</v>
      </c>
      <c r="F552" t="s">
        <v>3906</v>
      </c>
      <c r="G552" t="s">
        <v>5476</v>
      </c>
    </row>
    <row r="553" spans="1:7" ht="11.25" customHeight="1">
      <c r="A553" s="301" t="s">
        <v>14</v>
      </c>
      <c r="B553" t="s">
        <v>5454</v>
      </c>
      <c r="C553" t="s">
        <v>5455</v>
      </c>
      <c r="D553" t="s">
        <v>5477</v>
      </c>
      <c r="E553" t="s">
        <v>5478</v>
      </c>
      <c r="F553" t="s">
        <v>3906</v>
      </c>
      <c r="G553" t="s">
        <v>5479</v>
      </c>
    </row>
    <row r="554" spans="1:7" ht="11.25" customHeight="1">
      <c r="A554" s="301" t="s">
        <v>14</v>
      </c>
      <c r="B554" t="s">
        <v>5454</v>
      </c>
      <c r="C554" t="s">
        <v>5455</v>
      </c>
      <c r="D554" t="s">
        <v>5480</v>
      </c>
      <c r="E554" t="s">
        <v>5481</v>
      </c>
      <c r="F554" t="s">
        <v>3906</v>
      </c>
      <c r="G554" t="s">
        <v>5482</v>
      </c>
    </row>
    <row r="555" spans="1:7" ht="11.25" customHeight="1">
      <c r="A555" s="301" t="s">
        <v>14</v>
      </c>
      <c r="B555" t="s">
        <v>5454</v>
      </c>
      <c r="C555" t="s">
        <v>5455</v>
      </c>
      <c r="D555" t="s">
        <v>5483</v>
      </c>
      <c r="E555" t="s">
        <v>5484</v>
      </c>
      <c r="F555" t="s">
        <v>3906</v>
      </c>
      <c r="G555" t="s">
        <v>5485</v>
      </c>
    </row>
    <row r="556" spans="1:7" ht="11.25" customHeight="1">
      <c r="A556" s="301" t="s">
        <v>14</v>
      </c>
      <c r="B556" t="s">
        <v>5454</v>
      </c>
      <c r="C556" t="s">
        <v>5455</v>
      </c>
      <c r="D556" t="s">
        <v>5454</v>
      </c>
      <c r="E556" t="s">
        <v>5455</v>
      </c>
      <c r="F556" t="s">
        <v>3903</v>
      </c>
      <c r="G556" t="s">
        <v>5486</v>
      </c>
    </row>
    <row r="557" spans="1:7" ht="11.25" customHeight="1">
      <c r="A557" s="301" t="s">
        <v>14</v>
      </c>
      <c r="B557" t="s">
        <v>99</v>
      </c>
      <c r="C557" t="s">
        <v>100</v>
      </c>
      <c r="D557" t="s">
        <v>99</v>
      </c>
      <c r="E557" t="s">
        <v>100</v>
      </c>
      <c r="F557" t="s">
        <v>5138</v>
      </c>
      <c r="G557" t="s">
        <v>98</v>
      </c>
    </row>
    <row r="558" spans="1:7" ht="11.25" customHeight="1">
      <c r="A558" s="301" t="s">
        <v>14</v>
      </c>
      <c r="B558" t="s">
        <v>5487</v>
      </c>
      <c r="C558" t="s">
        <v>5488</v>
      </c>
      <c r="D558" t="s">
        <v>4807</v>
      </c>
      <c r="E558" t="s">
        <v>5489</v>
      </c>
      <c r="F558" t="s">
        <v>3906</v>
      </c>
      <c r="G558" t="s">
        <v>5490</v>
      </c>
    </row>
    <row r="559" spans="1:7" ht="11.25" customHeight="1">
      <c r="A559" s="301" t="s">
        <v>14</v>
      </c>
      <c r="B559" t="s">
        <v>5487</v>
      </c>
      <c r="C559" t="s">
        <v>5488</v>
      </c>
      <c r="D559" t="s">
        <v>4394</v>
      </c>
      <c r="E559" t="s">
        <v>5491</v>
      </c>
      <c r="F559" t="s">
        <v>3906</v>
      </c>
      <c r="G559" t="s">
        <v>5492</v>
      </c>
    </row>
    <row r="560" spans="1:7" ht="11.25" customHeight="1">
      <c r="A560" s="301" t="s">
        <v>14</v>
      </c>
      <c r="B560" t="s">
        <v>5487</v>
      </c>
      <c r="C560" t="s">
        <v>5488</v>
      </c>
      <c r="D560" t="s">
        <v>5493</v>
      </c>
      <c r="E560" t="s">
        <v>5494</v>
      </c>
      <c r="F560" t="s">
        <v>3906</v>
      </c>
      <c r="G560" t="s">
        <v>5495</v>
      </c>
    </row>
    <row r="561" spans="1:7" ht="11.25" customHeight="1">
      <c r="A561" s="301" t="s">
        <v>14</v>
      </c>
      <c r="B561" t="s">
        <v>5487</v>
      </c>
      <c r="C561" t="s">
        <v>5488</v>
      </c>
      <c r="D561" t="s">
        <v>5496</v>
      </c>
      <c r="E561" t="s">
        <v>5497</v>
      </c>
      <c r="F561" t="s">
        <v>3906</v>
      </c>
      <c r="G561" t="s">
        <v>5498</v>
      </c>
    </row>
    <row r="562" spans="1:7" ht="11.25" customHeight="1">
      <c r="A562" s="301" t="s">
        <v>14</v>
      </c>
      <c r="B562" t="s">
        <v>5487</v>
      </c>
      <c r="C562" t="s">
        <v>5488</v>
      </c>
      <c r="D562" t="s">
        <v>5499</v>
      </c>
      <c r="E562" t="s">
        <v>5500</v>
      </c>
      <c r="F562" t="s">
        <v>3906</v>
      </c>
      <c r="G562" t="s">
        <v>5501</v>
      </c>
    </row>
    <row r="563" spans="1:7" ht="11.25" customHeight="1">
      <c r="A563" s="301" t="s">
        <v>14</v>
      </c>
      <c r="B563" t="s">
        <v>5487</v>
      </c>
      <c r="C563" t="s">
        <v>5488</v>
      </c>
      <c r="D563" t="s">
        <v>5502</v>
      </c>
      <c r="E563" t="s">
        <v>5503</v>
      </c>
      <c r="F563" t="s">
        <v>3906</v>
      </c>
      <c r="G563" t="s">
        <v>5504</v>
      </c>
    </row>
    <row r="564" spans="1:7" ht="11.25" customHeight="1">
      <c r="A564" s="301" t="s">
        <v>14</v>
      </c>
      <c r="B564" t="s">
        <v>5487</v>
      </c>
      <c r="C564" t="s">
        <v>5488</v>
      </c>
      <c r="D564" t="s">
        <v>5487</v>
      </c>
      <c r="E564" t="s">
        <v>5488</v>
      </c>
      <c r="F564" t="s">
        <v>3903</v>
      </c>
      <c r="G564" t="s">
        <v>5505</v>
      </c>
    </row>
    <row r="565" spans="1:7" ht="11.25" customHeight="1">
      <c r="A565" s="301" t="s">
        <v>14</v>
      </c>
      <c r="B565" t="s">
        <v>5487</v>
      </c>
      <c r="C565" t="s">
        <v>5488</v>
      </c>
      <c r="D565" t="s">
        <v>5506</v>
      </c>
      <c r="E565" t="s">
        <v>5507</v>
      </c>
      <c r="F565" t="s">
        <v>3906</v>
      </c>
      <c r="G565" t="s">
        <v>5508</v>
      </c>
    </row>
    <row r="566" spans="1:7" ht="11.25" customHeight="1">
      <c r="A566" s="301" t="s">
        <v>14</v>
      </c>
      <c r="B566" t="s">
        <v>5509</v>
      </c>
      <c r="C566" t="s">
        <v>5510</v>
      </c>
      <c r="D566" t="s">
        <v>5511</v>
      </c>
      <c r="E566" t="s">
        <v>5512</v>
      </c>
      <c r="F566" t="s">
        <v>3906</v>
      </c>
      <c r="G566" t="s">
        <v>5513</v>
      </c>
    </row>
    <row r="567" spans="1:7" ht="11.25" customHeight="1">
      <c r="A567" s="301" t="s">
        <v>14</v>
      </c>
      <c r="B567" t="s">
        <v>5509</v>
      </c>
      <c r="C567" t="s">
        <v>5510</v>
      </c>
      <c r="D567" t="s">
        <v>5514</v>
      </c>
      <c r="E567" t="s">
        <v>5515</v>
      </c>
      <c r="F567" t="s">
        <v>3906</v>
      </c>
      <c r="G567" t="s">
        <v>5516</v>
      </c>
    </row>
    <row r="568" spans="1:7" ht="11.25" customHeight="1">
      <c r="A568" s="301" t="s">
        <v>14</v>
      </c>
      <c r="B568" t="s">
        <v>5509</v>
      </c>
      <c r="C568" t="s">
        <v>5510</v>
      </c>
      <c r="D568" t="s">
        <v>5517</v>
      </c>
      <c r="E568" t="s">
        <v>5518</v>
      </c>
      <c r="F568" t="s">
        <v>3906</v>
      </c>
      <c r="G568" t="s">
        <v>5519</v>
      </c>
    </row>
    <row r="569" spans="1:7" ht="11.25" customHeight="1">
      <c r="A569" s="301" t="s">
        <v>14</v>
      </c>
      <c r="B569" t="s">
        <v>5509</v>
      </c>
      <c r="C569" t="s">
        <v>5510</v>
      </c>
      <c r="D569" t="s">
        <v>5520</v>
      </c>
      <c r="E569" t="s">
        <v>5521</v>
      </c>
      <c r="F569" t="s">
        <v>3906</v>
      </c>
      <c r="G569" t="s">
        <v>5522</v>
      </c>
    </row>
    <row r="570" spans="1:7" ht="11.25" customHeight="1">
      <c r="A570" s="301" t="s">
        <v>14</v>
      </c>
      <c r="B570" t="s">
        <v>5509</v>
      </c>
      <c r="C570" t="s">
        <v>5510</v>
      </c>
      <c r="D570" t="s">
        <v>5523</v>
      </c>
      <c r="E570" t="s">
        <v>5524</v>
      </c>
      <c r="F570" t="s">
        <v>3906</v>
      </c>
      <c r="G570" t="s">
        <v>5525</v>
      </c>
    </row>
    <row r="571" spans="1:7" ht="11.25" customHeight="1">
      <c r="A571" s="301" t="s">
        <v>14</v>
      </c>
      <c r="B571" t="s">
        <v>5509</v>
      </c>
      <c r="C571" t="s">
        <v>5510</v>
      </c>
      <c r="D571" t="s">
        <v>5526</v>
      </c>
      <c r="E571" t="s">
        <v>5527</v>
      </c>
      <c r="F571" t="s">
        <v>3906</v>
      </c>
      <c r="G571" t="s">
        <v>5528</v>
      </c>
    </row>
    <row r="572" spans="1:7" ht="11.25" customHeight="1">
      <c r="A572" s="301" t="s">
        <v>14</v>
      </c>
      <c r="B572" t="s">
        <v>5509</v>
      </c>
      <c r="C572" t="s">
        <v>5510</v>
      </c>
      <c r="D572" t="s">
        <v>5529</v>
      </c>
      <c r="E572" t="s">
        <v>5530</v>
      </c>
      <c r="F572" t="s">
        <v>3906</v>
      </c>
      <c r="G572" t="s">
        <v>5531</v>
      </c>
    </row>
    <row r="573" spans="1:7" ht="11.25" customHeight="1">
      <c r="A573" s="301" t="s">
        <v>14</v>
      </c>
      <c r="B573" t="s">
        <v>5509</v>
      </c>
      <c r="C573" t="s">
        <v>5510</v>
      </c>
      <c r="D573" t="s">
        <v>5509</v>
      </c>
      <c r="E573" t="s">
        <v>5510</v>
      </c>
      <c r="F573" t="s">
        <v>3903</v>
      </c>
      <c r="G573" t="s">
        <v>5532</v>
      </c>
    </row>
    <row r="574" spans="1:7" ht="11.25" customHeight="1">
      <c r="A574" s="301" t="s">
        <v>14</v>
      </c>
      <c r="B574" t="s">
        <v>5509</v>
      </c>
      <c r="C574" t="s">
        <v>5510</v>
      </c>
      <c r="D574" t="s">
        <v>5533</v>
      </c>
      <c r="E574" t="s">
        <v>5534</v>
      </c>
      <c r="F574" t="s">
        <v>3984</v>
      </c>
      <c r="G574" t="s">
        <v>5535</v>
      </c>
    </row>
    <row r="575" spans="1:7" ht="11.25" customHeight="1">
      <c r="A575" s="301" t="s">
        <v>14</v>
      </c>
      <c r="B575" t="s">
        <v>5536</v>
      </c>
      <c r="C575" t="s">
        <v>5537</v>
      </c>
      <c r="D575" t="s">
        <v>5536</v>
      </c>
      <c r="E575" t="s">
        <v>5537</v>
      </c>
      <c r="F575" t="s">
        <v>3903</v>
      </c>
      <c r="G575" t="s">
        <v>5538</v>
      </c>
    </row>
    <row r="576" spans="1:7" ht="11.25" customHeight="1">
      <c r="A576" s="301" t="s">
        <v>14</v>
      </c>
      <c r="B576" t="s">
        <v>5536</v>
      </c>
      <c r="C576" t="s">
        <v>5537</v>
      </c>
      <c r="D576" t="s">
        <v>5539</v>
      </c>
      <c r="E576" t="s">
        <v>5540</v>
      </c>
      <c r="F576" t="s">
        <v>3906</v>
      </c>
      <c r="G576" t="s">
        <v>5541</v>
      </c>
    </row>
    <row r="577" spans="1:7" ht="11.25" customHeight="1">
      <c r="A577" s="301" t="s">
        <v>14</v>
      </c>
      <c r="B577" t="s">
        <v>5536</v>
      </c>
      <c r="C577" t="s">
        <v>5537</v>
      </c>
      <c r="D577" t="s">
        <v>5542</v>
      </c>
      <c r="E577" t="s">
        <v>5543</v>
      </c>
      <c r="F577" t="s">
        <v>3906</v>
      </c>
      <c r="G577" t="s">
        <v>5544</v>
      </c>
    </row>
    <row r="578" spans="1:7" ht="11.25" customHeight="1">
      <c r="A578" s="301" t="s">
        <v>14</v>
      </c>
      <c r="B578" t="s">
        <v>5536</v>
      </c>
      <c r="C578" t="s">
        <v>5537</v>
      </c>
      <c r="D578" t="s">
        <v>5545</v>
      </c>
      <c r="E578" t="s">
        <v>5546</v>
      </c>
      <c r="F578" t="s">
        <v>3906</v>
      </c>
      <c r="G578" t="s">
        <v>5547</v>
      </c>
    </row>
    <row r="579" spans="1:7" ht="11.25" customHeight="1">
      <c r="A579" s="301" t="s">
        <v>14</v>
      </c>
      <c r="B579" t="s">
        <v>5536</v>
      </c>
      <c r="C579" t="s">
        <v>5537</v>
      </c>
      <c r="D579" t="s">
        <v>5548</v>
      </c>
      <c r="E579" t="s">
        <v>5549</v>
      </c>
      <c r="F579" t="s">
        <v>3906</v>
      </c>
      <c r="G579" t="s">
        <v>5550</v>
      </c>
    </row>
    <row r="580" spans="1:7" ht="11.25" customHeight="1">
      <c r="A580" s="301" t="s">
        <v>14</v>
      </c>
      <c r="B580" t="s">
        <v>5536</v>
      </c>
      <c r="C580" t="s">
        <v>5537</v>
      </c>
      <c r="D580" t="s">
        <v>5551</v>
      </c>
      <c r="E580" t="s">
        <v>5552</v>
      </c>
      <c r="F580" t="s">
        <v>3906</v>
      </c>
      <c r="G580" t="s">
        <v>5553</v>
      </c>
    </row>
    <row r="581" spans="1:7" ht="11.25" customHeight="1">
      <c r="A581" s="301" t="s">
        <v>14</v>
      </c>
      <c r="B581" t="s">
        <v>5536</v>
      </c>
      <c r="C581" t="s">
        <v>5537</v>
      </c>
      <c r="D581" t="s">
        <v>5554</v>
      </c>
      <c r="E581" t="s">
        <v>5555</v>
      </c>
      <c r="F581" t="s">
        <v>3906</v>
      </c>
      <c r="G581" t="s">
        <v>5556</v>
      </c>
    </row>
    <row r="582" spans="1:7" ht="11.25" customHeight="1">
      <c r="A582" s="301" t="s">
        <v>14</v>
      </c>
      <c r="B582" t="s">
        <v>5536</v>
      </c>
      <c r="C582" t="s">
        <v>5537</v>
      </c>
      <c r="D582" t="s">
        <v>5557</v>
      </c>
      <c r="E582" t="s">
        <v>5558</v>
      </c>
      <c r="F582" t="s">
        <v>3906</v>
      </c>
      <c r="G582" t="s">
        <v>5559</v>
      </c>
    </row>
    <row r="583" spans="1:7" ht="11.25" customHeight="1">
      <c r="A583" s="301" t="s">
        <v>14</v>
      </c>
      <c r="B583" t="s">
        <v>5536</v>
      </c>
      <c r="C583" t="s">
        <v>5537</v>
      </c>
      <c r="D583" t="s">
        <v>5560</v>
      </c>
      <c r="E583" t="s">
        <v>5561</v>
      </c>
      <c r="F583" t="s">
        <v>3906</v>
      </c>
      <c r="G583" t="s">
        <v>5562</v>
      </c>
    </row>
    <row r="584" spans="1:7" ht="11.25" customHeight="1">
      <c r="A584" s="301" t="s">
        <v>14</v>
      </c>
      <c r="B584" t="s">
        <v>5536</v>
      </c>
      <c r="C584" t="s">
        <v>5537</v>
      </c>
      <c r="D584" t="s">
        <v>5563</v>
      </c>
      <c r="E584" t="s">
        <v>5564</v>
      </c>
      <c r="F584" t="s">
        <v>3906</v>
      </c>
      <c r="G584" t="s">
        <v>5565</v>
      </c>
    </row>
    <row r="585" spans="1:7" ht="11.25" customHeight="1">
      <c r="A585" s="301" t="s">
        <v>14</v>
      </c>
      <c r="B585" t="s">
        <v>5536</v>
      </c>
      <c r="C585" t="s">
        <v>5537</v>
      </c>
      <c r="D585" t="s">
        <v>5566</v>
      </c>
      <c r="E585" t="s">
        <v>5567</v>
      </c>
      <c r="F585" t="s">
        <v>3906</v>
      </c>
      <c r="G585" t="s">
        <v>5568</v>
      </c>
    </row>
    <row r="586" spans="1:7" ht="11.25" customHeight="1">
      <c r="A586" s="301" t="s">
        <v>14</v>
      </c>
      <c r="B586" t="s">
        <v>5536</v>
      </c>
      <c r="C586" t="s">
        <v>5537</v>
      </c>
      <c r="D586" t="s">
        <v>5569</v>
      </c>
      <c r="E586" t="s">
        <v>5570</v>
      </c>
      <c r="F586" t="s">
        <v>3906</v>
      </c>
      <c r="G586" t="s">
        <v>5571</v>
      </c>
    </row>
    <row r="587" spans="1:7" ht="11.25" customHeight="1">
      <c r="A587" s="301" t="s">
        <v>14</v>
      </c>
      <c r="B587" t="s">
        <v>5536</v>
      </c>
      <c r="C587" t="s">
        <v>5537</v>
      </c>
      <c r="D587" t="s">
        <v>5572</v>
      </c>
      <c r="E587" t="s">
        <v>5573</v>
      </c>
      <c r="F587" t="s">
        <v>3906</v>
      </c>
      <c r="G587" t="s">
        <v>5574</v>
      </c>
    </row>
    <row r="588" spans="1:7" ht="11.25" customHeight="1">
      <c r="A588" s="301" t="s">
        <v>14</v>
      </c>
      <c r="B588" t="s">
        <v>5536</v>
      </c>
      <c r="C588" t="s">
        <v>5537</v>
      </c>
      <c r="D588" t="s">
        <v>5575</v>
      </c>
      <c r="E588" t="s">
        <v>5576</v>
      </c>
      <c r="F588" t="s">
        <v>3906</v>
      </c>
      <c r="G588" t="s">
        <v>5577</v>
      </c>
    </row>
    <row r="589" spans="1:7" ht="11.25" customHeight="1">
      <c r="A589" s="301" t="s">
        <v>14</v>
      </c>
      <c r="B589" t="s">
        <v>5536</v>
      </c>
      <c r="C589" t="s">
        <v>5537</v>
      </c>
      <c r="D589" t="s">
        <v>5578</v>
      </c>
      <c r="E589" t="s">
        <v>5579</v>
      </c>
      <c r="F589" t="s">
        <v>3906</v>
      </c>
      <c r="G589" t="s">
        <v>5580</v>
      </c>
    </row>
    <row r="590" spans="1:7" ht="11.25" customHeight="1">
      <c r="A590" s="301" t="s">
        <v>14</v>
      </c>
      <c r="B590" t="s">
        <v>5536</v>
      </c>
      <c r="C590" t="s">
        <v>5537</v>
      </c>
      <c r="D590" t="s">
        <v>5581</v>
      </c>
      <c r="E590" t="s">
        <v>5582</v>
      </c>
      <c r="F590" t="s">
        <v>3906</v>
      </c>
      <c r="G590" t="s">
        <v>5583</v>
      </c>
    </row>
    <row r="591" spans="1:7" ht="11.25" customHeight="1">
      <c r="A591" s="301" t="s">
        <v>14</v>
      </c>
      <c r="B591" t="s">
        <v>5536</v>
      </c>
      <c r="C591" t="s">
        <v>5537</v>
      </c>
      <c r="D591" t="s">
        <v>5584</v>
      </c>
      <c r="E591" t="s">
        <v>5585</v>
      </c>
      <c r="F591" t="s">
        <v>3906</v>
      </c>
      <c r="G591" t="s">
        <v>5586</v>
      </c>
    </row>
    <row r="592" spans="1:7" ht="11.25" customHeight="1">
      <c r="A592" s="301" t="s">
        <v>14</v>
      </c>
      <c r="B592" t="s">
        <v>5536</v>
      </c>
      <c r="C592" t="s">
        <v>5537</v>
      </c>
      <c r="D592" t="s">
        <v>5587</v>
      </c>
      <c r="E592" t="s">
        <v>5588</v>
      </c>
      <c r="F592" t="s">
        <v>3906</v>
      </c>
      <c r="G592" t="s">
        <v>5589</v>
      </c>
    </row>
    <row r="593" spans="1:7" ht="11.25" customHeight="1">
      <c r="A593" s="301" t="s">
        <v>14</v>
      </c>
      <c r="B593" t="s">
        <v>5536</v>
      </c>
      <c r="C593" t="s">
        <v>5537</v>
      </c>
      <c r="D593" t="s">
        <v>5590</v>
      </c>
      <c r="E593" t="s">
        <v>5591</v>
      </c>
      <c r="F593" t="s">
        <v>3906</v>
      </c>
      <c r="G593" t="s">
        <v>5592</v>
      </c>
    </row>
    <row r="594" spans="1:7" ht="11.25" customHeight="1">
      <c r="A594" s="301" t="s">
        <v>14</v>
      </c>
      <c r="B594" t="s">
        <v>5536</v>
      </c>
      <c r="C594" t="s">
        <v>5537</v>
      </c>
      <c r="D594" t="s">
        <v>5593</v>
      </c>
      <c r="E594" t="s">
        <v>5594</v>
      </c>
      <c r="F594" t="s">
        <v>3906</v>
      </c>
      <c r="G594" t="s">
        <v>5595</v>
      </c>
    </row>
    <row r="595" spans="1:7" ht="11.25" customHeight="1">
      <c r="A595" s="301" t="s">
        <v>14</v>
      </c>
      <c r="B595" t="s">
        <v>5536</v>
      </c>
      <c r="C595" t="s">
        <v>5537</v>
      </c>
      <c r="D595" t="s">
        <v>5596</v>
      </c>
      <c r="E595" t="s">
        <v>5597</v>
      </c>
      <c r="F595" t="s">
        <v>3906</v>
      </c>
      <c r="G595" t="s">
        <v>5598</v>
      </c>
    </row>
    <row r="596" spans="1:7" ht="11.25" customHeight="1">
      <c r="A596" s="301" t="s">
        <v>14</v>
      </c>
      <c r="B596" t="s">
        <v>5536</v>
      </c>
      <c r="C596" t="s">
        <v>5537</v>
      </c>
      <c r="D596" t="s">
        <v>5599</v>
      </c>
      <c r="E596" t="s">
        <v>5600</v>
      </c>
      <c r="F596" t="s">
        <v>3906</v>
      </c>
      <c r="G596" t="s">
        <v>5601</v>
      </c>
    </row>
    <row r="597" spans="1:7" ht="11.25" customHeight="1">
      <c r="A597" s="301" t="s">
        <v>14</v>
      </c>
      <c r="B597" t="s">
        <v>5536</v>
      </c>
      <c r="C597" t="s">
        <v>5537</v>
      </c>
      <c r="D597" t="s">
        <v>5602</v>
      </c>
      <c r="E597" t="s">
        <v>5603</v>
      </c>
      <c r="F597" t="s">
        <v>3906</v>
      </c>
      <c r="G597" t="s">
        <v>5604</v>
      </c>
    </row>
    <row r="598" spans="1:7" ht="11.25" customHeight="1">
      <c r="A598" s="301" t="s">
        <v>14</v>
      </c>
      <c r="B598" t="s">
        <v>5536</v>
      </c>
      <c r="C598" t="s">
        <v>5537</v>
      </c>
      <c r="D598" t="s">
        <v>5605</v>
      </c>
      <c r="E598" t="s">
        <v>5606</v>
      </c>
      <c r="F598" t="s">
        <v>3906</v>
      </c>
      <c r="G598" t="s">
        <v>5607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53588-B8AF-A14D-441A-8246D43157DC}">
  <sheetPr>
    <tabColor rgb="FFFFCC99"/>
  </sheetPr>
  <dimension ref="A1:D1"/>
  <sheetViews>
    <sheetView showGridLines="0" workbookViewId="0"/>
  </sheetViews>
  <sheetFormatPr defaultColWidth="9.140625" defaultRowHeight="11.25" customHeight="1"/>
  <cols>
    <col min="1" max="4" width="9.140625" style="2092"/>
  </cols>
  <sheetData>
    <row r="1" spans="1:4" ht="11.25" customHeight="1">
      <c r="A1" s="752" t="s">
        <v>5608</v>
      </c>
      <c r="B1" s="752" t="s">
        <v>5609</v>
      </c>
      <c r="C1" s="752" t="s">
        <v>5610</v>
      </c>
      <c r="D1" s="752" t="s">
        <v>5611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CFF6C-60E4-7718-3B4F-562D9E602283}">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9A0BC-DD6A-639D-0DC4-E710CC92D7B3}">
  <sheetPr>
    <tabColor rgb="FFFFCC99"/>
  </sheetPr>
  <dimension ref="A1:B2"/>
  <sheetViews>
    <sheetView showGridLines="0" workbookViewId="0"/>
  </sheetViews>
  <sheetFormatPr defaultColWidth="9.140625" defaultRowHeight="11.25" customHeight="1"/>
  <cols>
    <col min="1" max="2" width="9.140625" style="2093"/>
  </cols>
  <sheetData>
    <row r="1" spans="1:2" ht="11.25" customHeight="1">
      <c r="A1" s="104" t="s">
        <v>129</v>
      </c>
      <c r="B1" s="104" t="s">
        <v>5612</v>
      </c>
    </row>
    <row r="2" spans="1:2" ht="11.25" customHeight="1">
      <c r="A2" s="1" t="s">
        <v>97</v>
      </c>
      <c r="B2" s="1" t="s">
        <v>5613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2D75C-677C-EA97-94F8-09D77A2B92CE}">
  <sheetPr>
    <tabColor rgb="FFFFCC99"/>
  </sheetPr>
  <dimension ref="A1:B11"/>
  <sheetViews>
    <sheetView showGridLines="0" workbookViewId="0"/>
  </sheetViews>
  <sheetFormatPr defaultColWidth="9.140625" defaultRowHeight="11.25" customHeight="1"/>
  <cols>
    <col min="1" max="1" width="9.140625" style="2092"/>
    <col min="2" max="2" width="65.28515625" style="2092" customWidth="1"/>
  </cols>
  <sheetData>
    <row r="1" spans="1:2" ht="11.25" customHeight="1">
      <c r="A1" s="752" t="s">
        <v>5614</v>
      </c>
      <c r="B1" s="752" t="s">
        <v>5615</v>
      </c>
    </row>
    <row r="2" spans="1:2" ht="11.25" customHeight="1">
      <c r="A2" s="752">
        <v>4213775</v>
      </c>
      <c r="B2" s="752" t="s">
        <v>1226</v>
      </c>
    </row>
    <row r="3" spans="1:2" ht="11.25" customHeight="1">
      <c r="A3" s="752">
        <v>4213784</v>
      </c>
      <c r="B3" s="752" t="s">
        <v>1260</v>
      </c>
    </row>
    <row r="4" spans="1:2" ht="11.25" customHeight="1">
      <c r="A4" s="752">
        <v>4213781</v>
      </c>
      <c r="B4" s="752" t="s">
        <v>1253</v>
      </c>
    </row>
    <row r="5" spans="1:2" ht="11.25" customHeight="1">
      <c r="A5" s="752">
        <v>4213776</v>
      </c>
      <c r="B5" s="752" t="s">
        <v>165</v>
      </c>
    </row>
    <row r="6" spans="1:2" ht="11.25" customHeight="1">
      <c r="A6" s="752">
        <v>4213777</v>
      </c>
      <c r="B6" s="752" t="s">
        <v>171</v>
      </c>
    </row>
    <row r="7" spans="1:2" ht="11.25" customHeight="1">
      <c r="A7" s="752">
        <v>4213778</v>
      </c>
      <c r="B7" s="752" t="s">
        <v>177</v>
      </c>
    </row>
    <row r="8" spans="1:2" ht="11.25" customHeight="1">
      <c r="A8" s="752">
        <v>4213780</v>
      </c>
      <c r="B8" s="752" t="s">
        <v>183</v>
      </c>
    </row>
    <row r="9" spans="1:2" ht="11.25" customHeight="1">
      <c r="A9" s="752">
        <v>4213779</v>
      </c>
      <c r="B9" s="752" t="s">
        <v>1392</v>
      </c>
    </row>
    <row r="10" spans="1:2" ht="11.25" customHeight="1">
      <c r="A10" s="752">
        <v>4213783</v>
      </c>
      <c r="B10" s="752" t="s">
        <v>1407</v>
      </c>
    </row>
    <row r="11" spans="1:2" ht="11.25" customHeight="1">
      <c r="A11" s="752">
        <v>4213782</v>
      </c>
      <c r="B11" s="752" t="s">
        <v>189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17BFC-2132-4AD2-1C19-6A14B46B5701}">
  <sheetPr>
    <tabColor rgb="FFFFCC99"/>
  </sheetPr>
  <dimension ref="A1:B11"/>
  <sheetViews>
    <sheetView showGridLines="0" workbookViewId="0"/>
  </sheetViews>
  <sheetFormatPr defaultColWidth="9.140625" defaultRowHeight="11.25" customHeight="1"/>
  <cols>
    <col min="1" max="1" width="9.140625" style="2092"/>
    <col min="2" max="2" width="65.28515625" style="2092" customWidth="1"/>
  </cols>
  <sheetData>
    <row r="1" spans="1:2" ht="11.25" customHeight="1">
      <c r="A1" s="752" t="s">
        <v>5614</v>
      </c>
      <c r="B1" s="752" t="s">
        <v>5616</v>
      </c>
    </row>
    <row r="2" spans="1:2" ht="11.25" customHeight="1">
      <c r="A2" s="752">
        <v>4190064</v>
      </c>
      <c r="B2" s="752" t="s">
        <v>1504</v>
      </c>
    </row>
    <row r="3" spans="1:2" ht="11.25" customHeight="1">
      <c r="A3" s="752">
        <v>4190065</v>
      </c>
      <c r="B3" s="752" t="s">
        <v>1514</v>
      </c>
    </row>
    <row r="4" spans="1:2" ht="11.25" customHeight="1">
      <c r="A4" s="752">
        <v>4190066</v>
      </c>
      <c r="B4" s="752" t="s">
        <v>1523</v>
      </c>
    </row>
    <row r="5" spans="1:2" ht="11.25" customHeight="1">
      <c r="A5" s="752">
        <v>4190067</v>
      </c>
      <c r="B5" s="752" t="s">
        <v>1532</v>
      </c>
    </row>
    <row r="6" spans="1:2" ht="11.25" customHeight="1">
      <c r="A6" s="752">
        <v>4190068</v>
      </c>
      <c r="B6" s="752" t="s">
        <v>1538</v>
      </c>
    </row>
    <row r="7" spans="1:2" ht="11.25" customHeight="1">
      <c r="A7" s="752">
        <v>4190069</v>
      </c>
      <c r="B7" s="752" t="s">
        <v>1546</v>
      </c>
    </row>
    <row r="8" spans="1:2" ht="11.25" customHeight="1">
      <c r="A8" s="752">
        <v>4190070</v>
      </c>
      <c r="B8" s="752" t="s">
        <v>1553</v>
      </c>
    </row>
    <row r="9" spans="1:2" ht="11.25" customHeight="1">
      <c r="A9" s="752">
        <v>4190071</v>
      </c>
      <c r="B9" s="752" t="s">
        <v>1559</v>
      </c>
    </row>
    <row r="10" spans="1:2" ht="11.25" customHeight="1">
      <c r="A10" s="752">
        <v>4190072</v>
      </c>
      <c r="B10" s="752" t="s">
        <v>1563</v>
      </c>
    </row>
    <row r="11" spans="1:2" ht="11.25" customHeight="1">
      <c r="A11" s="752">
        <v>4190073</v>
      </c>
      <c r="B11" s="752" t="s">
        <v>1570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1056F-6F1A-3878-41AD-FB327CC9CAE2}">
  <sheetPr>
    <tabColor theme="3" tint="0.59999389629810485"/>
  </sheetPr>
  <dimension ref="A1:AS17"/>
  <sheetViews>
    <sheetView showGridLines="0" topLeftCell="C3" zoomScale="90" workbookViewId="0"/>
  </sheetViews>
  <sheetFormatPr defaultColWidth="10.5703125" defaultRowHeight="14.25" customHeight="1"/>
  <cols>
    <col min="1" max="1" width="9.140625" style="1920" hidden="1" customWidth="1"/>
    <col min="2" max="2" width="9.140625" style="1919" hidden="1" customWidth="1"/>
    <col min="3" max="3" width="3.7109375" style="1921" customWidth="1"/>
    <col min="4" max="4" width="5.5703125" style="1919" customWidth="1"/>
    <col min="5" max="5" width="48.42578125" style="1919" customWidth="1"/>
    <col min="6" max="6" width="38.140625" style="1919" customWidth="1"/>
    <col min="7" max="7" width="1.7109375" style="1823" hidden="1" customWidth="1"/>
    <col min="8" max="11" width="19.85546875" style="1919" hidden="1" customWidth="1"/>
    <col min="12" max="12" width="9.7109375" style="1919" hidden="1" customWidth="1"/>
    <col min="13" max="18" width="19.85546875" style="1919" hidden="1" customWidth="1"/>
    <col min="19" max="19" width="1.7109375" style="1823" hidden="1" customWidth="1"/>
    <col min="20" max="22" width="19.85546875" style="1922" hidden="1" customWidth="1"/>
    <col min="23" max="23" width="1.7109375" style="1823" hidden="1" customWidth="1"/>
    <col min="24" max="26" width="19.85546875" style="1922" customWidth="1"/>
    <col min="27" max="27" width="1.7109375" style="1823" hidden="1" customWidth="1"/>
    <col min="28" max="29" width="19.85546875" style="1922" hidden="1" customWidth="1"/>
    <col min="30" max="30" width="1.7109375" style="1823" hidden="1" customWidth="1"/>
    <col min="31" max="31" width="103.7109375" style="1919" hidden="1" customWidth="1"/>
    <col min="32" max="32" width="103.7109375" style="1922" hidden="1" customWidth="1"/>
    <col min="33" max="33" width="103.7109375" style="1922" customWidth="1"/>
    <col min="34" max="34" width="103.7109375" style="1922" hidden="1" customWidth="1"/>
    <col min="35" max="35" width="3.7109375" style="1923" customWidth="1"/>
    <col min="36" max="38" width="10.5703125" style="1918"/>
    <col min="39" max="39" width="13.7109375" style="1918" hidden="1" customWidth="1"/>
    <col min="40" max="40" width="15.42578125" style="1918" customWidth="1"/>
    <col min="41" max="41" width="16.28515625" style="1918" customWidth="1"/>
    <col min="42" max="45" width="10.5703125" style="1918"/>
  </cols>
  <sheetData>
    <row r="1" spans="1:45" ht="14.25" hidden="1" customHeight="1">
      <c r="E1" s="346"/>
      <c r="F1" s="346"/>
      <c r="G1" s="346"/>
      <c r="H1" s="2237" t="s">
        <v>343</v>
      </c>
      <c r="I1" s="2237"/>
      <c r="J1" s="2237"/>
      <c r="K1" s="2237"/>
      <c r="L1" s="2237"/>
      <c r="M1" s="2237"/>
      <c r="N1" s="2237"/>
      <c r="O1" s="2237"/>
      <c r="P1" s="2237"/>
      <c r="Q1" s="2237"/>
      <c r="R1" s="2237"/>
      <c r="T1" s="2237" t="s">
        <v>344</v>
      </c>
      <c r="U1" s="2237"/>
      <c r="V1" s="2237"/>
      <c r="X1" s="2237" t="s">
        <v>345</v>
      </c>
      <c r="Y1" s="2237"/>
      <c r="Z1" s="2237"/>
      <c r="AB1" s="2237" t="s">
        <v>346</v>
      </c>
      <c r="AC1" s="2237"/>
    </row>
    <row r="2" spans="1:45" ht="14.25" hidden="1" customHeight="1"/>
    <row r="3" spans="1:45" s="1915" customFormat="1" ht="6" customHeight="1">
      <c r="C3" s="620"/>
      <c r="D3" s="621"/>
      <c r="E3" s="621"/>
      <c r="F3" s="621"/>
      <c r="G3" s="621"/>
      <c r="H3" s="621" t="s">
        <v>347</v>
      </c>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J3" s="437"/>
      <c r="AK3" s="437"/>
      <c r="AL3" s="437"/>
      <c r="AM3" s="437"/>
      <c r="AN3" s="437"/>
      <c r="AO3" s="437"/>
      <c r="AP3" s="437"/>
      <c r="AQ3" s="437"/>
      <c r="AR3" s="437"/>
      <c r="AS3" s="437"/>
    </row>
    <row r="4" spans="1:45" ht="37.5" customHeight="1">
      <c r="C4" s="381"/>
      <c r="D4" s="2175" t="str">
        <f>ORG_VD_NAME_FORM</f>
        <v>Форма 1. Информация об организации, осуществляющей холодное водоснабжение (общая информация)</v>
      </c>
      <c r="E4" s="2176"/>
      <c r="F4" s="2176"/>
      <c r="G4" s="2176"/>
      <c r="H4" s="2176"/>
      <c r="I4" s="2176"/>
      <c r="J4" s="2176"/>
      <c r="K4" s="2176"/>
      <c r="L4" s="2176"/>
      <c r="M4" s="2176"/>
      <c r="N4" s="2176"/>
      <c r="O4" s="2176"/>
      <c r="P4" s="2176"/>
      <c r="Q4" s="2176"/>
      <c r="R4" s="2177"/>
      <c r="S4" s="766"/>
      <c r="T4" s="619"/>
      <c r="U4" s="619"/>
      <c r="V4" s="619"/>
      <c r="W4" s="619"/>
      <c r="X4" s="619"/>
      <c r="Y4" s="619"/>
      <c r="Z4" s="619"/>
      <c r="AA4" s="619"/>
      <c r="AB4" s="619"/>
      <c r="AC4" s="619"/>
      <c r="AD4" s="619"/>
      <c r="AE4" s="417"/>
      <c r="AF4" s="417"/>
      <c r="AG4" s="417"/>
      <c r="AH4" s="417"/>
      <c r="AI4" s="414"/>
    </row>
    <row r="5" spans="1:45" s="1823" customFormat="1" ht="17.25" customHeight="1">
      <c r="A5" s="676"/>
      <c r="C5" s="739"/>
      <c r="D5" s="2234" t="str">
        <f>IF(org=0,"Не определено",org)</f>
        <v>ПАО "Юнипро"</v>
      </c>
      <c r="E5" s="2235"/>
      <c r="F5" s="2235"/>
      <c r="G5" s="2235"/>
      <c r="H5" s="2235"/>
      <c r="I5" s="2235"/>
      <c r="J5" s="2235"/>
      <c r="K5" s="2235"/>
      <c r="L5" s="2235"/>
      <c r="M5" s="2235"/>
      <c r="N5" s="2235"/>
      <c r="O5" s="2235"/>
      <c r="P5" s="2235"/>
      <c r="Q5" s="2235"/>
      <c r="R5" s="2236"/>
      <c r="S5" s="766"/>
      <c r="T5" s="619"/>
      <c r="U5" s="619"/>
      <c r="V5" s="619"/>
      <c r="W5" s="619"/>
      <c r="X5" s="619"/>
      <c r="Y5" s="619"/>
      <c r="Z5" s="619"/>
      <c r="AA5" s="619"/>
      <c r="AB5" s="619"/>
      <c r="AC5" s="619"/>
      <c r="AD5" s="619"/>
      <c r="AE5" s="417"/>
      <c r="AF5" s="417"/>
      <c r="AG5" s="417"/>
      <c r="AH5" s="417"/>
      <c r="AI5" s="414"/>
      <c r="AJ5" s="437"/>
      <c r="AK5" s="437"/>
      <c r="AL5" s="437"/>
      <c r="AM5" s="437"/>
      <c r="AN5" s="437"/>
      <c r="AO5" s="437"/>
      <c r="AP5" s="437"/>
      <c r="AQ5" s="437"/>
      <c r="AR5" s="437"/>
      <c r="AS5" s="437"/>
    </row>
    <row r="6" spans="1:45" s="1917" customFormat="1" ht="11.25" customHeight="1">
      <c r="A6" s="405"/>
      <c r="C6" s="412"/>
      <c r="D6" s="411"/>
      <c r="E6" s="411"/>
      <c r="F6" s="411"/>
      <c r="G6" s="411"/>
      <c r="H6" s="411"/>
      <c r="I6" s="411"/>
      <c r="J6" s="411"/>
      <c r="K6" s="411"/>
      <c r="L6" s="411"/>
      <c r="M6" s="411"/>
      <c r="N6" s="411"/>
      <c r="O6" s="411"/>
      <c r="P6" s="411"/>
      <c r="Q6" s="411"/>
      <c r="R6" s="669"/>
      <c r="S6" s="669"/>
      <c r="T6" s="411"/>
      <c r="U6" s="411"/>
      <c r="V6" s="631"/>
      <c r="W6" s="631"/>
      <c r="X6" s="411"/>
      <c r="Y6" s="411"/>
      <c r="Z6" s="631"/>
      <c r="AA6" s="631"/>
      <c r="AB6" s="411"/>
      <c r="AC6" s="631"/>
      <c r="AD6" s="631"/>
      <c r="AE6" s="411"/>
      <c r="AF6" s="411"/>
      <c r="AG6" s="411"/>
      <c r="AH6" s="411"/>
      <c r="AJ6" s="415"/>
      <c r="AK6" s="415"/>
      <c r="AL6" s="415"/>
      <c r="AM6" s="415"/>
      <c r="AN6" s="415"/>
      <c r="AO6" s="415"/>
      <c r="AP6" s="415"/>
      <c r="AQ6" s="415"/>
      <c r="AR6" s="415"/>
      <c r="AS6" s="415"/>
    </row>
    <row r="7" spans="1:45" ht="14.25" customHeight="1">
      <c r="C7" s="381"/>
      <c r="D7" s="2238" t="s">
        <v>289</v>
      </c>
      <c r="E7" s="2239"/>
      <c r="F7" s="2239"/>
      <c r="G7" s="2239"/>
      <c r="H7" s="2239"/>
      <c r="I7" s="2239"/>
      <c r="J7" s="2239"/>
      <c r="K7" s="2239"/>
      <c r="L7" s="2239"/>
      <c r="M7" s="2239"/>
      <c r="N7" s="2239"/>
      <c r="O7" s="2239"/>
      <c r="P7" s="2239"/>
      <c r="Q7" s="2239"/>
      <c r="R7" s="2239"/>
      <c r="S7" s="2239"/>
      <c r="T7" s="2239"/>
      <c r="U7" s="2239"/>
      <c r="V7" s="2239"/>
      <c r="W7" s="2239"/>
      <c r="X7" s="2239"/>
      <c r="Y7" s="2239"/>
      <c r="Z7" s="2239"/>
      <c r="AA7" s="2239"/>
      <c r="AB7" s="2239"/>
      <c r="AC7" s="2239"/>
      <c r="AD7" s="2240"/>
      <c r="AE7" s="2171" t="s">
        <v>290</v>
      </c>
      <c r="AF7" s="2171" t="s">
        <v>290</v>
      </c>
      <c r="AG7" s="2171" t="s">
        <v>290</v>
      </c>
      <c r="AH7" s="2171" t="s">
        <v>290</v>
      </c>
    </row>
    <row r="8" spans="1:45" ht="25.5" customHeight="1">
      <c r="C8" s="381"/>
      <c r="D8" s="2143" t="s">
        <v>87</v>
      </c>
      <c r="E8" s="2171" t="str">
        <f>"Наименование "&amp;IF(TEMPLATE_SPHERE&lt;&gt;"HEAT","централизованной ","")&amp;"системы "&amp;TEMPLATE_SPHERE_RUS</f>
        <v>Наименование централизованной системы холодного водоснабжения</v>
      </c>
      <c r="F8" s="2171" t="str">
        <f>IF(TEMPLATE_SPHERE&lt;&gt;"HEAT","Регулируемый вид деятельности","Вид регулируемой деятельности")</f>
        <v>Регулируемый вид деятельности</v>
      </c>
      <c r="G8" s="745"/>
      <c r="H8" s="2243" t="s">
        <v>348</v>
      </c>
      <c r="I8" s="2245" t="s">
        <v>349</v>
      </c>
      <c r="J8" s="2171" t="s">
        <v>350</v>
      </c>
      <c r="K8" s="2171"/>
      <c r="L8" s="2171"/>
      <c r="M8" s="2238"/>
      <c r="N8" s="2171" t="s">
        <v>351</v>
      </c>
      <c r="O8" s="2171"/>
      <c r="P8" s="2171" t="s">
        <v>352</v>
      </c>
      <c r="Q8" s="2171"/>
      <c r="R8" s="2247" t="s">
        <v>353</v>
      </c>
      <c r="S8" s="741"/>
      <c r="T8" s="2243" t="s">
        <v>354</v>
      </c>
      <c r="U8" s="2243" t="s">
        <v>355</v>
      </c>
      <c r="V8" s="2243" t="s">
        <v>356</v>
      </c>
      <c r="W8" s="743"/>
      <c r="X8" s="2243" t="s">
        <v>357</v>
      </c>
      <c r="Y8" s="2243" t="s">
        <v>358</v>
      </c>
      <c r="Z8" s="2243" t="s">
        <v>359</v>
      </c>
      <c r="AA8" s="743"/>
      <c r="AB8" s="2243" t="s">
        <v>360</v>
      </c>
      <c r="AC8" s="2243" t="s">
        <v>353</v>
      </c>
      <c r="AD8" s="743"/>
      <c r="AE8" s="2171"/>
      <c r="AF8" s="2171"/>
      <c r="AG8" s="2171"/>
      <c r="AH8" s="2171"/>
    </row>
    <row r="9" spans="1:45" ht="43.5" customHeight="1">
      <c r="C9" s="381"/>
      <c r="D9" s="2143"/>
      <c r="E9" s="2171"/>
      <c r="F9" s="2171"/>
      <c r="G9" s="746"/>
      <c r="H9" s="2244"/>
      <c r="I9" s="2246"/>
      <c r="J9" s="358" t="s">
        <v>361</v>
      </c>
      <c r="K9" s="358" t="s">
        <v>362</v>
      </c>
      <c r="L9" s="358" t="s">
        <v>363</v>
      </c>
      <c r="M9" s="363" t="s">
        <v>364</v>
      </c>
      <c r="N9" s="358" t="s">
        <v>365</v>
      </c>
      <c r="O9" s="358" t="s">
        <v>364</v>
      </c>
      <c r="P9" s="358" t="s">
        <v>366</v>
      </c>
      <c r="Q9" s="358" t="s">
        <v>364</v>
      </c>
      <c r="R9" s="2248"/>
      <c r="S9" s="742"/>
      <c r="T9" s="2244"/>
      <c r="U9" s="2244"/>
      <c r="V9" s="2244"/>
      <c r="W9" s="744"/>
      <c r="X9" s="2244"/>
      <c r="Y9" s="2244"/>
      <c r="Z9" s="2244"/>
      <c r="AA9" s="744"/>
      <c r="AB9" s="2244"/>
      <c r="AC9" s="2244"/>
      <c r="AD9" s="744"/>
      <c r="AE9" s="2171"/>
      <c r="AF9" s="2171"/>
      <c r="AG9" s="2171"/>
      <c r="AH9" s="2171"/>
    </row>
    <row r="10" spans="1:45" ht="12" hidden="1" customHeight="1">
      <c r="C10" s="413"/>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79"/>
      <c r="AP10" s="426"/>
      <c r="AQ10" s="426"/>
    </row>
    <row r="11" spans="1:45" s="1819" customFormat="1" ht="11.25" hidden="1" customHeight="1">
      <c r="C11" s="424"/>
      <c r="D11" s="425" t="s">
        <v>367</v>
      </c>
      <c r="E11" s="425"/>
      <c r="F11" s="425"/>
      <c r="G11" s="425"/>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367"/>
      <c r="AF11" s="367"/>
      <c r="AG11" s="367"/>
      <c r="AH11" s="367"/>
      <c r="AJ11" s="415"/>
      <c r="AK11" s="415"/>
      <c r="AL11" s="415"/>
      <c r="AM11" s="415"/>
      <c r="AN11" s="415"/>
      <c r="AO11" s="415"/>
      <c r="AP11" s="415"/>
      <c r="AQ11" s="415"/>
      <c r="AR11" s="415"/>
      <c r="AS11" s="415"/>
    </row>
    <row r="12" spans="1:45" ht="14.25" customHeight="1">
      <c r="A12" s="379"/>
      <c r="C12" s="381"/>
      <c r="D12" s="366" t="s">
        <v>108</v>
      </c>
      <c r="E12" s="1687" t="s">
        <v>24</v>
      </c>
      <c r="F12" s="768"/>
      <c r="G12" s="769"/>
      <c r="H12" s="1688"/>
      <c r="I12" s="1688"/>
      <c r="J12" s="365"/>
      <c r="K12" s="1773"/>
      <c r="L12" s="364"/>
      <c r="M12" s="1773"/>
      <c r="N12" s="365"/>
      <c r="O12" s="1773"/>
      <c r="P12" s="365"/>
      <c r="Q12" s="1773"/>
      <c r="R12" s="365"/>
      <c r="S12" s="767"/>
      <c r="T12" s="1688"/>
      <c r="U12" s="365"/>
      <c r="V12" s="365"/>
      <c r="W12" s="744"/>
      <c r="X12" s="1688"/>
      <c r="Y12" s="365"/>
      <c r="Z12" s="365"/>
      <c r="AA12" s="744"/>
      <c r="AB12" s="1688"/>
      <c r="AC12" s="365"/>
      <c r="AD12" s="744"/>
      <c r="AE12" s="2241" t="s">
        <v>368</v>
      </c>
      <c r="AF12" s="2241" t="s">
        <v>369</v>
      </c>
      <c r="AG12" s="2241" t="s">
        <v>370</v>
      </c>
      <c r="AH12" s="2241" t="s">
        <v>371</v>
      </c>
      <c r="AI12" s="379"/>
      <c r="AM12" s="437"/>
      <c r="AP12" s="426" t="s">
        <v>372</v>
      </c>
      <c r="AQ12" s="426" t="s">
        <v>372</v>
      </c>
    </row>
    <row r="13" spans="1:45" ht="17.25" customHeight="1">
      <c r="A13" s="379"/>
      <c r="C13" s="381"/>
      <c r="D13" s="339"/>
      <c r="E13" s="782" t="str">
        <f>IF(TITLE_DIFFERENTIATION_TYPE="нет","","Добавить систему")</f>
        <v/>
      </c>
      <c r="F13" s="782" t="str">
        <f>IF(TITLE_DIFFERENTIATION_TYPE="нет","Добавить вид деятельности","")</f>
        <v>Добавить вид деятельности</v>
      </c>
      <c r="G13" s="233"/>
      <c r="H13" s="340"/>
      <c r="I13" s="340"/>
      <c r="J13" s="340"/>
      <c r="K13" s="340"/>
      <c r="L13" s="340"/>
      <c r="M13" s="340"/>
      <c r="N13" s="340"/>
      <c r="O13" s="340"/>
      <c r="P13" s="340"/>
      <c r="Q13" s="340"/>
      <c r="R13" s="340"/>
      <c r="S13" s="340"/>
      <c r="T13" s="340"/>
      <c r="U13" s="340"/>
      <c r="V13" s="340"/>
      <c r="W13" s="340"/>
      <c r="X13" s="340"/>
      <c r="Y13" s="340"/>
      <c r="Z13" s="340"/>
      <c r="AA13" s="340"/>
      <c r="AB13" s="340"/>
      <c r="AC13" s="340"/>
      <c r="AD13" s="770"/>
      <c r="AE13" s="2242"/>
      <c r="AF13" s="2242"/>
      <c r="AG13" s="2242"/>
      <c r="AH13" s="2242"/>
      <c r="AI13" s="379"/>
    </row>
    <row r="14" spans="1:45" ht="14.25" customHeight="1">
      <c r="AI14" s="379"/>
    </row>
    <row r="15" spans="1:45" ht="14.25" customHeight="1">
      <c r="E15" s="675"/>
      <c r="L15" s="675"/>
    </row>
    <row r="16" spans="1:45" ht="14.25" customHeight="1">
      <c r="L16" s="675"/>
    </row>
    <row r="17" spans="12:12" ht="14.25" customHeight="1">
      <c r="L17" s="675"/>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6D2F-8DBF-F7DD-0849-8658F2A08327}">
  <sheetPr>
    <tabColor rgb="FFFFCC99"/>
  </sheetPr>
  <dimension ref="A1:G598"/>
  <sheetViews>
    <sheetView showGridLines="0" workbookViewId="0"/>
  </sheetViews>
  <sheetFormatPr defaultRowHeight="11.25" customHeight="1"/>
  <sheetData>
    <row r="1" spans="1:7" ht="11.25" customHeight="1">
      <c r="A1" s="301" t="s">
        <v>3894</v>
      </c>
      <c r="B1" s="301" t="s">
        <v>3895</v>
      </c>
      <c r="C1" s="301" t="s">
        <v>3896</v>
      </c>
      <c r="D1" s="301" t="s">
        <v>3897</v>
      </c>
      <c r="E1" t="s">
        <v>3898</v>
      </c>
      <c r="F1" t="s">
        <v>3899</v>
      </c>
      <c r="G1" t="s">
        <v>3900</v>
      </c>
    </row>
    <row r="2" spans="1:7" ht="11.25" customHeight="1">
      <c r="A2" t="s">
        <v>14</v>
      </c>
      <c r="B2" t="s">
        <v>3901</v>
      </c>
      <c r="C2" t="s">
        <v>3902</v>
      </c>
      <c r="D2" t="s">
        <v>3901</v>
      </c>
      <c r="E2" t="s">
        <v>3902</v>
      </c>
      <c r="F2" t="s">
        <v>3903</v>
      </c>
      <c r="G2" t="s">
        <v>108</v>
      </c>
    </row>
    <row r="3" spans="1:7" ht="11.25" customHeight="1">
      <c r="A3" t="s">
        <v>14</v>
      </c>
      <c r="B3" t="s">
        <v>3901</v>
      </c>
      <c r="C3" t="s">
        <v>3902</v>
      </c>
      <c r="D3" t="s">
        <v>3904</v>
      </c>
      <c r="E3" t="s">
        <v>3905</v>
      </c>
      <c r="F3" t="s">
        <v>3906</v>
      </c>
      <c r="G3" t="s">
        <v>109</v>
      </c>
    </row>
    <row r="4" spans="1:7" ht="11.25" customHeight="1">
      <c r="A4" t="s">
        <v>14</v>
      </c>
      <c r="B4" t="s">
        <v>3901</v>
      </c>
      <c r="C4" t="s">
        <v>3902</v>
      </c>
      <c r="D4" t="s">
        <v>3907</v>
      </c>
      <c r="E4" t="s">
        <v>3908</v>
      </c>
      <c r="F4" t="s">
        <v>3906</v>
      </c>
      <c r="G4" t="s">
        <v>89</v>
      </c>
    </row>
    <row r="5" spans="1:7" ht="11.25" customHeight="1">
      <c r="A5" t="s">
        <v>14</v>
      </c>
      <c r="B5" t="s">
        <v>3901</v>
      </c>
      <c r="C5" t="s">
        <v>3902</v>
      </c>
      <c r="D5" t="s">
        <v>3909</v>
      </c>
      <c r="E5" t="s">
        <v>3910</v>
      </c>
      <c r="F5" t="s">
        <v>3906</v>
      </c>
      <c r="G5" t="s">
        <v>90</v>
      </c>
    </row>
    <row r="6" spans="1:7" ht="11.25" customHeight="1">
      <c r="A6" t="s">
        <v>14</v>
      </c>
      <c r="B6" t="s">
        <v>3901</v>
      </c>
      <c r="C6" t="s">
        <v>3902</v>
      </c>
      <c r="D6" t="s">
        <v>3911</v>
      </c>
      <c r="E6" t="s">
        <v>3912</v>
      </c>
      <c r="F6" t="s">
        <v>3906</v>
      </c>
      <c r="G6" t="s">
        <v>110</v>
      </c>
    </row>
    <row r="7" spans="1:7" ht="11.25" customHeight="1">
      <c r="A7" t="s">
        <v>14</v>
      </c>
      <c r="B7" t="s">
        <v>3901</v>
      </c>
      <c r="C7" t="s">
        <v>3902</v>
      </c>
      <c r="D7" t="s">
        <v>3913</v>
      </c>
      <c r="E7" t="s">
        <v>3914</v>
      </c>
      <c r="F7" t="s">
        <v>3906</v>
      </c>
      <c r="G7" t="s">
        <v>91</v>
      </c>
    </row>
    <row r="8" spans="1:7" ht="11.25" customHeight="1">
      <c r="A8" t="s">
        <v>14</v>
      </c>
      <c r="B8" t="s">
        <v>3901</v>
      </c>
      <c r="C8" t="s">
        <v>3902</v>
      </c>
      <c r="D8" t="s">
        <v>3915</v>
      </c>
      <c r="E8" t="s">
        <v>3916</v>
      </c>
      <c r="F8" t="s">
        <v>3906</v>
      </c>
      <c r="G8" t="s">
        <v>92</v>
      </c>
    </row>
    <row r="9" spans="1:7" ht="11.25" customHeight="1">
      <c r="A9" t="s">
        <v>14</v>
      </c>
      <c r="B9" t="s">
        <v>3901</v>
      </c>
      <c r="C9" t="s">
        <v>3902</v>
      </c>
      <c r="D9" t="s">
        <v>3917</v>
      </c>
      <c r="E9" t="s">
        <v>3918</v>
      </c>
      <c r="F9" t="s">
        <v>3906</v>
      </c>
      <c r="G9" t="s">
        <v>111</v>
      </c>
    </row>
    <row r="10" spans="1:7" ht="11.25" customHeight="1">
      <c r="A10" t="s">
        <v>14</v>
      </c>
      <c r="B10" t="s">
        <v>3901</v>
      </c>
      <c r="C10" t="s">
        <v>3902</v>
      </c>
      <c r="D10" t="s">
        <v>3919</v>
      </c>
      <c r="E10" t="s">
        <v>3920</v>
      </c>
      <c r="F10" t="s">
        <v>3906</v>
      </c>
      <c r="G10" t="s">
        <v>147</v>
      </c>
    </row>
    <row r="11" spans="1:7" ht="11.25" customHeight="1">
      <c r="A11" t="s">
        <v>14</v>
      </c>
      <c r="B11" t="s">
        <v>3901</v>
      </c>
      <c r="C11" t="s">
        <v>3902</v>
      </c>
      <c r="D11" t="s">
        <v>3921</v>
      </c>
      <c r="E11" t="s">
        <v>3922</v>
      </c>
      <c r="F11" t="s">
        <v>3906</v>
      </c>
      <c r="G11" t="s">
        <v>148</v>
      </c>
    </row>
    <row r="12" spans="1:7" ht="11.25" customHeight="1">
      <c r="A12" t="s">
        <v>14</v>
      </c>
      <c r="B12" t="s">
        <v>3901</v>
      </c>
      <c r="C12" t="s">
        <v>3902</v>
      </c>
      <c r="D12" t="s">
        <v>3923</v>
      </c>
      <c r="E12" t="s">
        <v>3924</v>
      </c>
      <c r="F12" t="s">
        <v>3906</v>
      </c>
      <c r="G12" t="s">
        <v>149</v>
      </c>
    </row>
    <row r="13" spans="1:7" ht="11.25" customHeight="1">
      <c r="A13" t="s">
        <v>14</v>
      </c>
      <c r="B13" t="s">
        <v>3901</v>
      </c>
      <c r="C13" t="s">
        <v>3902</v>
      </c>
      <c r="D13" t="s">
        <v>3925</v>
      </c>
      <c r="E13" t="s">
        <v>3926</v>
      </c>
      <c r="F13" t="s">
        <v>3906</v>
      </c>
      <c r="G13" t="s">
        <v>150</v>
      </c>
    </row>
    <row r="14" spans="1:7" ht="11.25" customHeight="1">
      <c r="A14" t="s">
        <v>14</v>
      </c>
      <c r="B14" t="s">
        <v>3901</v>
      </c>
      <c r="C14" t="s">
        <v>3902</v>
      </c>
      <c r="D14" t="s">
        <v>3927</v>
      </c>
      <c r="E14" t="s">
        <v>3928</v>
      </c>
      <c r="F14" t="s">
        <v>3906</v>
      </c>
      <c r="G14" t="s">
        <v>151</v>
      </c>
    </row>
    <row r="15" spans="1:7" ht="11.25" customHeight="1">
      <c r="A15" t="s">
        <v>14</v>
      </c>
      <c r="B15" t="s">
        <v>3901</v>
      </c>
      <c r="C15" t="s">
        <v>3902</v>
      </c>
      <c r="D15" t="s">
        <v>3929</v>
      </c>
      <c r="E15" t="s">
        <v>3930</v>
      </c>
      <c r="F15" t="s">
        <v>3906</v>
      </c>
      <c r="G15" t="s">
        <v>152</v>
      </c>
    </row>
    <row r="16" spans="1:7" ht="11.25" customHeight="1">
      <c r="A16" t="s">
        <v>14</v>
      </c>
      <c r="B16" t="s">
        <v>3901</v>
      </c>
      <c r="C16" t="s">
        <v>3902</v>
      </c>
      <c r="D16" t="s">
        <v>3931</v>
      </c>
      <c r="E16" t="s">
        <v>3932</v>
      </c>
      <c r="F16" t="s">
        <v>3906</v>
      </c>
      <c r="G16" t="s">
        <v>1467</v>
      </c>
    </row>
    <row r="17" spans="1:7" ht="11.25" customHeight="1">
      <c r="A17" t="s">
        <v>14</v>
      </c>
      <c r="B17" t="s">
        <v>3901</v>
      </c>
      <c r="C17" t="s">
        <v>3902</v>
      </c>
      <c r="D17" t="s">
        <v>3933</v>
      </c>
      <c r="E17" t="s">
        <v>3934</v>
      </c>
      <c r="F17" t="s">
        <v>3906</v>
      </c>
      <c r="G17" t="s">
        <v>1473</v>
      </c>
    </row>
    <row r="18" spans="1:7" ht="11.25" customHeight="1">
      <c r="A18" t="s">
        <v>14</v>
      </c>
      <c r="B18" t="s">
        <v>3901</v>
      </c>
      <c r="C18" t="s">
        <v>3902</v>
      </c>
      <c r="D18" t="s">
        <v>3935</v>
      </c>
      <c r="E18" t="s">
        <v>3936</v>
      </c>
      <c r="F18" t="s">
        <v>3906</v>
      </c>
      <c r="G18" t="s">
        <v>1484</v>
      </c>
    </row>
    <row r="19" spans="1:7" ht="11.25" customHeight="1">
      <c r="A19" t="s">
        <v>14</v>
      </c>
      <c r="B19" t="s">
        <v>3937</v>
      </c>
      <c r="C19" t="s">
        <v>3938</v>
      </c>
      <c r="D19" t="s">
        <v>3937</v>
      </c>
      <c r="E19" t="s">
        <v>3938</v>
      </c>
      <c r="F19" t="s">
        <v>3903</v>
      </c>
      <c r="G19" t="s">
        <v>1498</v>
      </c>
    </row>
    <row r="20" spans="1:7" ht="11.25" customHeight="1">
      <c r="A20" t="s">
        <v>14</v>
      </c>
      <c r="B20" t="s">
        <v>3937</v>
      </c>
      <c r="C20" t="s">
        <v>3938</v>
      </c>
      <c r="D20" t="s">
        <v>3939</v>
      </c>
      <c r="E20" t="s">
        <v>3940</v>
      </c>
      <c r="F20" t="s">
        <v>3906</v>
      </c>
      <c r="G20" t="s">
        <v>1510</v>
      </c>
    </row>
    <row r="21" spans="1:7" ht="11.25" customHeight="1">
      <c r="A21" t="s">
        <v>14</v>
      </c>
      <c r="B21" t="s">
        <v>3937</v>
      </c>
      <c r="C21" t="s">
        <v>3938</v>
      </c>
      <c r="D21" t="s">
        <v>3941</v>
      </c>
      <c r="E21" t="s">
        <v>3942</v>
      </c>
      <c r="F21" t="s">
        <v>3906</v>
      </c>
      <c r="G21" t="s">
        <v>1519</v>
      </c>
    </row>
    <row r="22" spans="1:7" ht="11.25" customHeight="1">
      <c r="A22" t="s">
        <v>14</v>
      </c>
      <c r="B22" t="s">
        <v>3937</v>
      </c>
      <c r="C22" t="s">
        <v>3938</v>
      </c>
      <c r="D22" t="s">
        <v>3943</v>
      </c>
      <c r="E22" t="s">
        <v>3944</v>
      </c>
      <c r="F22" t="s">
        <v>3906</v>
      </c>
      <c r="G22" t="s">
        <v>1535</v>
      </c>
    </row>
    <row r="23" spans="1:7" ht="11.25" customHeight="1">
      <c r="A23" t="s">
        <v>14</v>
      </c>
      <c r="B23" t="s">
        <v>3937</v>
      </c>
      <c r="C23" t="s">
        <v>3938</v>
      </c>
      <c r="D23" t="s">
        <v>3945</v>
      </c>
      <c r="E23" t="s">
        <v>3946</v>
      </c>
      <c r="F23" t="s">
        <v>3906</v>
      </c>
      <c r="G23" t="s">
        <v>1542</v>
      </c>
    </row>
    <row r="24" spans="1:7" ht="11.25" customHeight="1">
      <c r="A24" t="s">
        <v>14</v>
      </c>
      <c r="B24" t="s">
        <v>3937</v>
      </c>
      <c r="C24" t="s">
        <v>3938</v>
      </c>
      <c r="D24" t="s">
        <v>3947</v>
      </c>
      <c r="E24" t="s">
        <v>3948</v>
      </c>
      <c r="F24" t="s">
        <v>3906</v>
      </c>
      <c r="G24" t="s">
        <v>1550</v>
      </c>
    </row>
    <row r="25" spans="1:7" ht="11.25" customHeight="1">
      <c r="A25" t="s">
        <v>14</v>
      </c>
      <c r="B25" t="s">
        <v>3937</v>
      </c>
      <c r="C25" t="s">
        <v>3938</v>
      </c>
      <c r="D25" t="s">
        <v>3949</v>
      </c>
      <c r="E25" t="s">
        <v>3950</v>
      </c>
      <c r="F25" t="s">
        <v>3906</v>
      </c>
      <c r="G25" t="s">
        <v>1557</v>
      </c>
    </row>
    <row r="26" spans="1:7" ht="11.25" customHeight="1">
      <c r="A26" t="s">
        <v>14</v>
      </c>
      <c r="B26" t="s">
        <v>3937</v>
      </c>
      <c r="C26" t="s">
        <v>3938</v>
      </c>
      <c r="D26" t="s">
        <v>3951</v>
      </c>
      <c r="E26" t="s">
        <v>3952</v>
      </c>
      <c r="F26" t="s">
        <v>3906</v>
      </c>
      <c r="G26" t="s">
        <v>1561</v>
      </c>
    </row>
    <row r="27" spans="1:7" ht="11.25" customHeight="1">
      <c r="A27" t="s">
        <v>14</v>
      </c>
      <c r="B27" t="s">
        <v>3937</v>
      </c>
      <c r="C27" t="s">
        <v>3938</v>
      </c>
      <c r="D27" t="s">
        <v>3953</v>
      </c>
      <c r="E27" t="s">
        <v>3954</v>
      </c>
      <c r="F27" t="s">
        <v>3906</v>
      </c>
      <c r="G27" t="s">
        <v>1566</v>
      </c>
    </row>
    <row r="28" spans="1:7" ht="11.25" customHeight="1">
      <c r="A28" t="s">
        <v>14</v>
      </c>
      <c r="B28" t="s">
        <v>3937</v>
      </c>
      <c r="C28" t="s">
        <v>3938</v>
      </c>
      <c r="D28" t="s">
        <v>3955</v>
      </c>
      <c r="E28" t="s">
        <v>3956</v>
      </c>
      <c r="F28" t="s">
        <v>3906</v>
      </c>
      <c r="G28" t="s">
        <v>1574</v>
      </c>
    </row>
    <row r="29" spans="1:7" ht="11.25" customHeight="1">
      <c r="A29" t="s">
        <v>14</v>
      </c>
      <c r="B29" t="s">
        <v>3957</v>
      </c>
      <c r="C29" t="s">
        <v>3958</v>
      </c>
      <c r="D29" t="s">
        <v>3957</v>
      </c>
      <c r="E29" t="s">
        <v>3958</v>
      </c>
      <c r="F29" t="s">
        <v>3903</v>
      </c>
      <c r="G29" t="s">
        <v>1576</v>
      </c>
    </row>
    <row r="30" spans="1:7" ht="11.25" customHeight="1">
      <c r="A30" t="s">
        <v>14</v>
      </c>
      <c r="B30" t="s">
        <v>3957</v>
      </c>
      <c r="C30" t="s">
        <v>3958</v>
      </c>
      <c r="D30" t="s">
        <v>3959</v>
      </c>
      <c r="E30" t="s">
        <v>3960</v>
      </c>
      <c r="F30" t="s">
        <v>3906</v>
      </c>
      <c r="G30" t="s">
        <v>1578</v>
      </c>
    </row>
    <row r="31" spans="1:7" ht="11.25" customHeight="1">
      <c r="A31" t="s">
        <v>14</v>
      </c>
      <c r="B31" t="s">
        <v>3957</v>
      </c>
      <c r="C31" t="s">
        <v>3958</v>
      </c>
      <c r="D31" t="s">
        <v>3961</v>
      </c>
      <c r="E31" t="s">
        <v>3962</v>
      </c>
      <c r="F31" t="s">
        <v>3906</v>
      </c>
      <c r="G31" t="s">
        <v>1584</v>
      </c>
    </row>
    <row r="32" spans="1:7" ht="11.25" customHeight="1">
      <c r="A32" t="s">
        <v>14</v>
      </c>
      <c r="B32" t="s">
        <v>3957</v>
      </c>
      <c r="C32" t="s">
        <v>3958</v>
      </c>
      <c r="D32" t="s">
        <v>3963</v>
      </c>
      <c r="E32" t="s">
        <v>3964</v>
      </c>
      <c r="F32" t="s">
        <v>3906</v>
      </c>
      <c r="G32" t="s">
        <v>1586</v>
      </c>
    </row>
    <row r="33" spans="1:7" ht="11.25" customHeight="1">
      <c r="A33" t="s">
        <v>14</v>
      </c>
      <c r="B33" t="s">
        <v>3957</v>
      </c>
      <c r="C33" t="s">
        <v>3958</v>
      </c>
      <c r="D33" t="s">
        <v>3965</v>
      </c>
      <c r="E33" t="s">
        <v>3966</v>
      </c>
      <c r="F33" t="s">
        <v>3906</v>
      </c>
      <c r="G33" t="s">
        <v>1588</v>
      </c>
    </row>
    <row r="34" spans="1:7" ht="11.25" customHeight="1">
      <c r="A34" t="s">
        <v>14</v>
      </c>
      <c r="B34" t="s">
        <v>3957</v>
      </c>
      <c r="C34" t="s">
        <v>3958</v>
      </c>
      <c r="D34" t="s">
        <v>3967</v>
      </c>
      <c r="E34" t="s">
        <v>3968</v>
      </c>
      <c r="F34" t="s">
        <v>3906</v>
      </c>
      <c r="G34" t="s">
        <v>1590</v>
      </c>
    </row>
    <row r="35" spans="1:7" ht="11.25" customHeight="1">
      <c r="A35" t="s">
        <v>14</v>
      </c>
      <c r="B35" t="s">
        <v>3957</v>
      </c>
      <c r="C35" t="s">
        <v>3958</v>
      </c>
      <c r="D35" t="s">
        <v>3969</v>
      </c>
      <c r="E35" t="s">
        <v>3970</v>
      </c>
      <c r="F35" t="s">
        <v>3906</v>
      </c>
      <c r="G35" t="s">
        <v>1595</v>
      </c>
    </row>
    <row r="36" spans="1:7" ht="11.25" customHeight="1">
      <c r="A36" t="s">
        <v>14</v>
      </c>
      <c r="B36" t="s">
        <v>3957</v>
      </c>
      <c r="C36" t="s">
        <v>3958</v>
      </c>
      <c r="D36" t="s">
        <v>3921</v>
      </c>
      <c r="E36" t="s">
        <v>3971</v>
      </c>
      <c r="F36" t="s">
        <v>3906</v>
      </c>
      <c r="G36" t="s">
        <v>1600</v>
      </c>
    </row>
    <row r="37" spans="1:7" ht="11.25" customHeight="1">
      <c r="A37" t="s">
        <v>14</v>
      </c>
      <c r="B37" t="s">
        <v>3957</v>
      </c>
      <c r="C37" t="s">
        <v>3958</v>
      </c>
      <c r="D37" t="s">
        <v>3972</v>
      </c>
      <c r="E37" t="s">
        <v>3973</v>
      </c>
      <c r="F37" t="s">
        <v>3906</v>
      </c>
      <c r="G37" t="s">
        <v>1604</v>
      </c>
    </row>
    <row r="38" spans="1:7" ht="11.25" customHeight="1">
      <c r="A38" t="s">
        <v>14</v>
      </c>
      <c r="B38" t="s">
        <v>3957</v>
      </c>
      <c r="C38" t="s">
        <v>3958</v>
      </c>
      <c r="D38" t="s">
        <v>3974</v>
      </c>
      <c r="E38" t="s">
        <v>3975</v>
      </c>
      <c r="F38" t="s">
        <v>3906</v>
      </c>
      <c r="G38" t="s">
        <v>1612</v>
      </c>
    </row>
    <row r="39" spans="1:7" ht="11.25" customHeight="1">
      <c r="A39" t="s">
        <v>14</v>
      </c>
      <c r="B39" t="s">
        <v>3957</v>
      </c>
      <c r="C39" t="s">
        <v>3958</v>
      </c>
      <c r="D39" t="s">
        <v>3976</v>
      </c>
      <c r="E39" t="s">
        <v>3977</v>
      </c>
      <c r="F39" t="s">
        <v>3906</v>
      </c>
      <c r="G39" t="s">
        <v>1618</v>
      </c>
    </row>
    <row r="40" spans="1:7" ht="11.25" customHeight="1">
      <c r="A40" t="s">
        <v>14</v>
      </c>
      <c r="B40" t="s">
        <v>3957</v>
      </c>
      <c r="C40" t="s">
        <v>3958</v>
      </c>
      <c r="D40" t="s">
        <v>3978</v>
      </c>
      <c r="E40" t="s">
        <v>3979</v>
      </c>
      <c r="F40" t="s">
        <v>3906</v>
      </c>
      <c r="G40" t="s">
        <v>1623</v>
      </c>
    </row>
    <row r="41" spans="1:7" ht="11.25" customHeight="1">
      <c r="A41" t="s">
        <v>14</v>
      </c>
      <c r="B41" t="s">
        <v>3957</v>
      </c>
      <c r="C41" t="s">
        <v>3958</v>
      </c>
      <c r="D41" t="s">
        <v>3980</v>
      </c>
      <c r="E41" t="s">
        <v>3981</v>
      </c>
      <c r="F41" t="s">
        <v>3906</v>
      </c>
      <c r="G41" t="s">
        <v>1627</v>
      </c>
    </row>
    <row r="42" spans="1:7" ht="11.25" customHeight="1">
      <c r="A42" t="s">
        <v>14</v>
      </c>
      <c r="B42" t="s">
        <v>3957</v>
      </c>
      <c r="C42" t="s">
        <v>3958</v>
      </c>
      <c r="D42" t="s">
        <v>3982</v>
      </c>
      <c r="E42" t="s">
        <v>3983</v>
      </c>
      <c r="F42" t="s">
        <v>3984</v>
      </c>
      <c r="G42" t="s">
        <v>1630</v>
      </c>
    </row>
    <row r="43" spans="1:7" ht="11.25" customHeight="1">
      <c r="A43" t="s">
        <v>14</v>
      </c>
      <c r="B43" t="s">
        <v>3985</v>
      </c>
      <c r="C43" t="s">
        <v>3986</v>
      </c>
      <c r="D43" t="s">
        <v>3987</v>
      </c>
      <c r="E43" t="s">
        <v>3988</v>
      </c>
      <c r="F43" t="s">
        <v>3906</v>
      </c>
      <c r="G43" t="s">
        <v>1637</v>
      </c>
    </row>
    <row r="44" spans="1:7" ht="11.25" customHeight="1">
      <c r="A44" t="s">
        <v>14</v>
      </c>
      <c r="B44" t="s">
        <v>3985</v>
      </c>
      <c r="C44" t="s">
        <v>3986</v>
      </c>
      <c r="D44" t="s">
        <v>3985</v>
      </c>
      <c r="E44" t="s">
        <v>3986</v>
      </c>
      <c r="F44" t="s">
        <v>3903</v>
      </c>
      <c r="G44" t="s">
        <v>1646</v>
      </c>
    </row>
    <row r="45" spans="1:7" ht="11.25" customHeight="1">
      <c r="A45" t="s">
        <v>14</v>
      </c>
      <c r="B45" t="s">
        <v>3985</v>
      </c>
      <c r="C45" t="s">
        <v>3986</v>
      </c>
      <c r="D45" t="s">
        <v>3989</v>
      </c>
      <c r="E45" t="s">
        <v>3990</v>
      </c>
      <c r="F45" t="s">
        <v>3906</v>
      </c>
      <c r="G45" t="s">
        <v>1651</v>
      </c>
    </row>
    <row r="46" spans="1:7" ht="11.25" customHeight="1">
      <c r="A46" t="s">
        <v>14</v>
      </c>
      <c r="B46" t="s">
        <v>3985</v>
      </c>
      <c r="C46" t="s">
        <v>3986</v>
      </c>
      <c r="D46" t="s">
        <v>3991</v>
      </c>
      <c r="E46" t="s">
        <v>3992</v>
      </c>
      <c r="F46" t="s">
        <v>3906</v>
      </c>
      <c r="G46" t="s">
        <v>1655</v>
      </c>
    </row>
    <row r="47" spans="1:7" ht="11.25" customHeight="1">
      <c r="A47" t="s">
        <v>14</v>
      </c>
      <c r="B47" t="s">
        <v>3985</v>
      </c>
      <c r="C47" t="s">
        <v>3986</v>
      </c>
      <c r="D47" t="s">
        <v>3993</v>
      </c>
      <c r="E47" t="s">
        <v>3994</v>
      </c>
      <c r="F47" t="s">
        <v>3906</v>
      </c>
      <c r="G47" t="s">
        <v>1661</v>
      </c>
    </row>
    <row r="48" spans="1:7" ht="11.25" customHeight="1">
      <c r="A48" t="s">
        <v>14</v>
      </c>
      <c r="B48" t="s">
        <v>3985</v>
      </c>
      <c r="C48" t="s">
        <v>3986</v>
      </c>
      <c r="D48" t="s">
        <v>3995</v>
      </c>
      <c r="E48" t="s">
        <v>3996</v>
      </c>
      <c r="F48" t="s">
        <v>3906</v>
      </c>
      <c r="G48" t="s">
        <v>1666</v>
      </c>
    </row>
    <row r="49" spans="1:7" ht="11.25" customHeight="1">
      <c r="A49" t="s">
        <v>14</v>
      </c>
      <c r="B49" t="s">
        <v>3985</v>
      </c>
      <c r="C49" t="s">
        <v>3986</v>
      </c>
      <c r="D49" t="s">
        <v>3997</v>
      </c>
      <c r="E49" t="s">
        <v>3998</v>
      </c>
      <c r="F49" t="s">
        <v>3984</v>
      </c>
      <c r="G49" t="s">
        <v>1669</v>
      </c>
    </row>
    <row r="50" spans="1:7" ht="11.25" customHeight="1">
      <c r="A50" t="s">
        <v>14</v>
      </c>
      <c r="B50" t="s">
        <v>3999</v>
      </c>
      <c r="C50" t="s">
        <v>4000</v>
      </c>
      <c r="D50" t="s">
        <v>4001</v>
      </c>
      <c r="E50" t="s">
        <v>4002</v>
      </c>
      <c r="F50" t="s">
        <v>3906</v>
      </c>
      <c r="G50" t="s">
        <v>1673</v>
      </c>
    </row>
    <row r="51" spans="1:7" ht="11.25" customHeight="1">
      <c r="A51" t="s">
        <v>14</v>
      </c>
      <c r="B51" t="s">
        <v>3999</v>
      </c>
      <c r="C51" t="s">
        <v>4000</v>
      </c>
      <c r="D51" t="s">
        <v>3999</v>
      </c>
      <c r="E51" t="s">
        <v>4000</v>
      </c>
      <c r="F51" t="s">
        <v>3903</v>
      </c>
      <c r="G51" t="s">
        <v>1677</v>
      </c>
    </row>
    <row r="52" spans="1:7" ht="11.25" customHeight="1">
      <c r="A52" t="s">
        <v>14</v>
      </c>
      <c r="B52" t="s">
        <v>3999</v>
      </c>
      <c r="C52" t="s">
        <v>4000</v>
      </c>
      <c r="D52" t="s">
        <v>4003</v>
      </c>
      <c r="E52" t="s">
        <v>4004</v>
      </c>
      <c r="F52" t="s">
        <v>3906</v>
      </c>
      <c r="G52" t="s">
        <v>1681</v>
      </c>
    </row>
    <row r="53" spans="1:7" ht="11.25" customHeight="1">
      <c r="A53" t="s">
        <v>14</v>
      </c>
      <c r="B53" t="s">
        <v>3999</v>
      </c>
      <c r="C53" t="s">
        <v>4000</v>
      </c>
      <c r="D53" t="s">
        <v>4005</v>
      </c>
      <c r="E53" t="s">
        <v>4006</v>
      </c>
      <c r="F53" t="s">
        <v>3906</v>
      </c>
      <c r="G53" t="s">
        <v>1683</v>
      </c>
    </row>
    <row r="54" spans="1:7" ht="11.25" customHeight="1">
      <c r="A54" t="s">
        <v>14</v>
      </c>
      <c r="B54" t="s">
        <v>3999</v>
      </c>
      <c r="C54" t="s">
        <v>4000</v>
      </c>
      <c r="D54" t="s">
        <v>4007</v>
      </c>
      <c r="E54" t="s">
        <v>4008</v>
      </c>
      <c r="F54" t="s">
        <v>3906</v>
      </c>
      <c r="G54" t="s">
        <v>1686</v>
      </c>
    </row>
    <row r="55" spans="1:7" ht="11.25" customHeight="1">
      <c r="A55" t="s">
        <v>14</v>
      </c>
      <c r="B55" t="s">
        <v>3999</v>
      </c>
      <c r="C55" t="s">
        <v>4000</v>
      </c>
      <c r="D55" t="s">
        <v>4009</v>
      </c>
      <c r="E55" t="s">
        <v>4010</v>
      </c>
      <c r="F55" t="s">
        <v>3906</v>
      </c>
      <c r="G55" t="s">
        <v>1690</v>
      </c>
    </row>
    <row r="56" spans="1:7" ht="11.25" customHeight="1">
      <c r="A56" t="s">
        <v>14</v>
      </c>
      <c r="B56" t="s">
        <v>3999</v>
      </c>
      <c r="C56" t="s">
        <v>4000</v>
      </c>
      <c r="D56" t="s">
        <v>4011</v>
      </c>
      <c r="E56" t="s">
        <v>4012</v>
      </c>
      <c r="F56" t="s">
        <v>3906</v>
      </c>
      <c r="G56" t="s">
        <v>1693</v>
      </c>
    </row>
    <row r="57" spans="1:7" ht="11.25" customHeight="1">
      <c r="A57" t="s">
        <v>14</v>
      </c>
      <c r="B57" t="s">
        <v>3999</v>
      </c>
      <c r="C57" t="s">
        <v>4000</v>
      </c>
      <c r="D57" t="s">
        <v>4013</v>
      </c>
      <c r="E57" t="s">
        <v>4014</v>
      </c>
      <c r="F57" t="s">
        <v>3906</v>
      </c>
      <c r="G57" t="s">
        <v>1696</v>
      </c>
    </row>
    <row r="58" spans="1:7" ht="11.25" customHeight="1">
      <c r="A58" t="s">
        <v>14</v>
      </c>
      <c r="B58" t="s">
        <v>3999</v>
      </c>
      <c r="C58" t="s">
        <v>4000</v>
      </c>
      <c r="D58" t="s">
        <v>4015</v>
      </c>
      <c r="E58" t="s">
        <v>4016</v>
      </c>
      <c r="F58" t="s">
        <v>3906</v>
      </c>
      <c r="G58" t="s">
        <v>1699</v>
      </c>
    </row>
    <row r="59" spans="1:7" ht="11.25" customHeight="1">
      <c r="A59" t="s">
        <v>14</v>
      </c>
      <c r="B59" t="s">
        <v>3999</v>
      </c>
      <c r="C59" t="s">
        <v>4000</v>
      </c>
      <c r="D59" t="s">
        <v>4017</v>
      </c>
      <c r="E59" t="s">
        <v>4018</v>
      </c>
      <c r="F59" t="s">
        <v>3906</v>
      </c>
      <c r="G59" t="s">
        <v>1703</v>
      </c>
    </row>
    <row r="60" spans="1:7" ht="11.25" customHeight="1">
      <c r="A60" t="s">
        <v>14</v>
      </c>
      <c r="B60" t="s">
        <v>3999</v>
      </c>
      <c r="C60" t="s">
        <v>4000</v>
      </c>
      <c r="D60" t="s">
        <v>4019</v>
      </c>
      <c r="E60" t="s">
        <v>4020</v>
      </c>
      <c r="F60" t="s">
        <v>3906</v>
      </c>
      <c r="G60" t="s">
        <v>1706</v>
      </c>
    </row>
    <row r="61" spans="1:7" ht="11.25" customHeight="1">
      <c r="A61" t="s">
        <v>14</v>
      </c>
      <c r="B61" t="s">
        <v>3999</v>
      </c>
      <c r="C61" t="s">
        <v>4000</v>
      </c>
      <c r="D61" t="s">
        <v>4021</v>
      </c>
      <c r="E61" t="s">
        <v>4022</v>
      </c>
      <c r="F61" t="s">
        <v>3906</v>
      </c>
      <c r="G61" t="s">
        <v>4023</v>
      </c>
    </row>
    <row r="62" spans="1:7" ht="11.25" customHeight="1">
      <c r="A62" t="s">
        <v>14</v>
      </c>
      <c r="B62" t="s">
        <v>4024</v>
      </c>
      <c r="C62" t="s">
        <v>4025</v>
      </c>
      <c r="D62" t="s">
        <v>4026</v>
      </c>
      <c r="E62" t="s">
        <v>4027</v>
      </c>
      <c r="F62" t="s">
        <v>3906</v>
      </c>
      <c r="G62" t="s">
        <v>4028</v>
      </c>
    </row>
    <row r="63" spans="1:7" ht="11.25" customHeight="1">
      <c r="A63" t="s">
        <v>14</v>
      </c>
      <c r="B63" t="s">
        <v>4024</v>
      </c>
      <c r="C63" t="s">
        <v>4025</v>
      </c>
      <c r="D63" t="s">
        <v>4024</v>
      </c>
      <c r="E63" t="s">
        <v>4025</v>
      </c>
      <c r="F63" t="s">
        <v>3903</v>
      </c>
      <c r="G63" t="s">
        <v>4029</v>
      </c>
    </row>
    <row r="64" spans="1:7" ht="11.25" customHeight="1">
      <c r="A64" t="s">
        <v>14</v>
      </c>
      <c r="B64" t="s">
        <v>4024</v>
      </c>
      <c r="C64" t="s">
        <v>4025</v>
      </c>
      <c r="D64" t="s">
        <v>4030</v>
      </c>
      <c r="E64" t="s">
        <v>4031</v>
      </c>
      <c r="F64" t="s">
        <v>3906</v>
      </c>
      <c r="G64" t="s">
        <v>4032</v>
      </c>
    </row>
    <row r="65" spans="1:7" ht="11.25" customHeight="1">
      <c r="A65" t="s">
        <v>14</v>
      </c>
      <c r="B65" t="s">
        <v>4024</v>
      </c>
      <c r="C65" t="s">
        <v>4025</v>
      </c>
      <c r="D65" t="s">
        <v>4033</v>
      </c>
      <c r="E65" t="s">
        <v>4034</v>
      </c>
      <c r="F65" t="s">
        <v>3906</v>
      </c>
      <c r="G65" t="s">
        <v>4035</v>
      </c>
    </row>
    <row r="66" spans="1:7" ht="11.25" customHeight="1">
      <c r="A66" t="s">
        <v>14</v>
      </c>
      <c r="B66" t="s">
        <v>4024</v>
      </c>
      <c r="C66" t="s">
        <v>4025</v>
      </c>
      <c r="D66" t="s">
        <v>4036</v>
      </c>
      <c r="E66" t="s">
        <v>4037</v>
      </c>
      <c r="F66" t="s">
        <v>3906</v>
      </c>
      <c r="G66" t="s">
        <v>4038</v>
      </c>
    </row>
    <row r="67" spans="1:7" ht="11.25" customHeight="1">
      <c r="A67" t="s">
        <v>14</v>
      </c>
      <c r="B67" t="s">
        <v>4024</v>
      </c>
      <c r="C67" t="s">
        <v>4025</v>
      </c>
      <c r="D67" t="s">
        <v>4039</v>
      </c>
      <c r="E67" t="s">
        <v>4040</v>
      </c>
      <c r="F67" t="s">
        <v>3906</v>
      </c>
      <c r="G67" t="s">
        <v>1928</v>
      </c>
    </row>
    <row r="68" spans="1:7" ht="11.25" customHeight="1">
      <c r="A68" t="s">
        <v>14</v>
      </c>
      <c r="B68" t="s">
        <v>4024</v>
      </c>
      <c r="C68" t="s">
        <v>4025</v>
      </c>
      <c r="D68" t="s">
        <v>4041</v>
      </c>
      <c r="E68" t="s">
        <v>4042</v>
      </c>
      <c r="F68" t="s">
        <v>3906</v>
      </c>
      <c r="G68" t="s">
        <v>4043</v>
      </c>
    </row>
    <row r="69" spans="1:7" ht="11.25" customHeight="1">
      <c r="A69" t="s">
        <v>14</v>
      </c>
      <c r="B69" t="s">
        <v>4024</v>
      </c>
      <c r="C69" t="s">
        <v>4025</v>
      </c>
      <c r="D69" t="s">
        <v>4044</v>
      </c>
      <c r="E69" t="s">
        <v>4045</v>
      </c>
      <c r="F69" t="s">
        <v>3906</v>
      </c>
      <c r="G69" t="s">
        <v>2138</v>
      </c>
    </row>
    <row r="70" spans="1:7" ht="11.25" customHeight="1">
      <c r="A70" t="s">
        <v>14</v>
      </c>
      <c r="B70" t="s">
        <v>4024</v>
      </c>
      <c r="C70" t="s">
        <v>4025</v>
      </c>
      <c r="D70" t="s">
        <v>4046</v>
      </c>
      <c r="E70" t="s">
        <v>4047</v>
      </c>
      <c r="F70" t="s">
        <v>3906</v>
      </c>
      <c r="G70" t="s">
        <v>4048</v>
      </c>
    </row>
    <row r="71" spans="1:7" ht="11.25" customHeight="1">
      <c r="A71" t="s">
        <v>14</v>
      </c>
      <c r="B71" t="s">
        <v>4049</v>
      </c>
      <c r="C71" t="s">
        <v>4050</v>
      </c>
      <c r="D71" t="s">
        <v>4051</v>
      </c>
      <c r="E71" t="s">
        <v>4052</v>
      </c>
      <c r="F71" t="s">
        <v>3906</v>
      </c>
      <c r="G71" t="s">
        <v>4053</v>
      </c>
    </row>
    <row r="72" spans="1:7" ht="11.25" customHeight="1">
      <c r="A72" t="s">
        <v>14</v>
      </c>
      <c r="B72" t="s">
        <v>4049</v>
      </c>
      <c r="C72" t="s">
        <v>4050</v>
      </c>
      <c r="D72" t="s">
        <v>4054</v>
      </c>
      <c r="E72" t="s">
        <v>4055</v>
      </c>
      <c r="F72" t="s">
        <v>3906</v>
      </c>
      <c r="G72" t="s">
        <v>4056</v>
      </c>
    </row>
    <row r="73" spans="1:7" ht="11.25" customHeight="1">
      <c r="A73" t="s">
        <v>14</v>
      </c>
      <c r="B73" t="s">
        <v>4049</v>
      </c>
      <c r="C73" t="s">
        <v>4050</v>
      </c>
      <c r="D73" t="s">
        <v>4057</v>
      </c>
      <c r="E73" t="s">
        <v>4058</v>
      </c>
      <c r="F73" t="s">
        <v>3906</v>
      </c>
      <c r="G73" t="s">
        <v>4059</v>
      </c>
    </row>
    <row r="74" spans="1:7" ht="11.25" customHeight="1">
      <c r="A74" t="s">
        <v>14</v>
      </c>
      <c r="B74" t="s">
        <v>4049</v>
      </c>
      <c r="C74" t="s">
        <v>4050</v>
      </c>
      <c r="D74" t="s">
        <v>4049</v>
      </c>
      <c r="E74" t="s">
        <v>4050</v>
      </c>
      <c r="F74" t="s">
        <v>3903</v>
      </c>
      <c r="G74" t="s">
        <v>4060</v>
      </c>
    </row>
    <row r="75" spans="1:7" ht="11.25" customHeight="1">
      <c r="A75" t="s">
        <v>14</v>
      </c>
      <c r="B75" t="s">
        <v>4049</v>
      </c>
      <c r="C75" t="s">
        <v>4050</v>
      </c>
      <c r="D75" t="s">
        <v>4061</v>
      </c>
      <c r="E75" t="s">
        <v>4062</v>
      </c>
      <c r="F75" t="s">
        <v>3906</v>
      </c>
      <c r="G75" t="s">
        <v>4063</v>
      </c>
    </row>
    <row r="76" spans="1:7" ht="11.25" customHeight="1">
      <c r="A76" t="s">
        <v>14</v>
      </c>
      <c r="B76" t="s">
        <v>4049</v>
      </c>
      <c r="C76" t="s">
        <v>4050</v>
      </c>
      <c r="D76" t="s">
        <v>4064</v>
      </c>
      <c r="E76" t="s">
        <v>4065</v>
      </c>
      <c r="F76" t="s">
        <v>3906</v>
      </c>
      <c r="G76" t="s">
        <v>4066</v>
      </c>
    </row>
    <row r="77" spans="1:7" ht="11.25" customHeight="1">
      <c r="A77" t="s">
        <v>14</v>
      </c>
      <c r="B77" t="s">
        <v>4049</v>
      </c>
      <c r="C77" t="s">
        <v>4050</v>
      </c>
      <c r="D77" t="s">
        <v>4067</v>
      </c>
      <c r="E77" t="s">
        <v>4068</v>
      </c>
      <c r="F77" t="s">
        <v>3906</v>
      </c>
      <c r="G77" t="s">
        <v>4069</v>
      </c>
    </row>
    <row r="78" spans="1:7" ht="11.25" customHeight="1">
      <c r="A78" t="s">
        <v>14</v>
      </c>
      <c r="B78" t="s">
        <v>4049</v>
      </c>
      <c r="C78" t="s">
        <v>4050</v>
      </c>
      <c r="D78" t="s">
        <v>4070</v>
      </c>
      <c r="E78" t="s">
        <v>4071</v>
      </c>
      <c r="F78" t="s">
        <v>3906</v>
      </c>
      <c r="G78" t="s">
        <v>4072</v>
      </c>
    </row>
    <row r="79" spans="1:7" ht="11.25" customHeight="1">
      <c r="A79" t="s">
        <v>14</v>
      </c>
      <c r="B79" t="s">
        <v>4049</v>
      </c>
      <c r="C79" t="s">
        <v>4050</v>
      </c>
      <c r="D79" t="s">
        <v>4073</v>
      </c>
      <c r="E79" t="s">
        <v>4074</v>
      </c>
      <c r="F79" t="s">
        <v>4075</v>
      </c>
      <c r="G79" t="s">
        <v>4076</v>
      </c>
    </row>
    <row r="80" spans="1:7" ht="11.25" customHeight="1">
      <c r="A80" t="s">
        <v>14</v>
      </c>
      <c r="B80" t="s">
        <v>4049</v>
      </c>
      <c r="C80" t="s">
        <v>4050</v>
      </c>
      <c r="D80" t="s">
        <v>4077</v>
      </c>
      <c r="E80" t="s">
        <v>4078</v>
      </c>
      <c r="F80" t="s">
        <v>3906</v>
      </c>
      <c r="G80" t="s">
        <v>4079</v>
      </c>
    </row>
    <row r="81" spans="1:7" ht="11.25" customHeight="1">
      <c r="A81" t="s">
        <v>14</v>
      </c>
      <c r="B81" t="s">
        <v>4049</v>
      </c>
      <c r="C81" t="s">
        <v>4050</v>
      </c>
      <c r="D81" t="s">
        <v>4080</v>
      </c>
      <c r="E81" t="s">
        <v>4081</v>
      </c>
      <c r="F81" t="s">
        <v>3906</v>
      </c>
      <c r="G81" t="s">
        <v>4082</v>
      </c>
    </row>
    <row r="82" spans="1:7" ht="11.25" customHeight="1">
      <c r="A82" t="s">
        <v>14</v>
      </c>
      <c r="B82" t="s">
        <v>4049</v>
      </c>
      <c r="C82" t="s">
        <v>4050</v>
      </c>
      <c r="D82" t="s">
        <v>4083</v>
      </c>
      <c r="E82" t="s">
        <v>4084</v>
      </c>
      <c r="F82" t="s">
        <v>3906</v>
      </c>
      <c r="G82" t="s">
        <v>4085</v>
      </c>
    </row>
    <row r="83" spans="1:7" ht="11.25" customHeight="1">
      <c r="A83" t="s">
        <v>14</v>
      </c>
      <c r="B83" t="s">
        <v>4049</v>
      </c>
      <c r="C83" t="s">
        <v>4050</v>
      </c>
      <c r="D83" t="s">
        <v>4086</v>
      </c>
      <c r="E83" t="s">
        <v>4087</v>
      </c>
      <c r="F83" t="s">
        <v>3906</v>
      </c>
      <c r="G83" t="s">
        <v>4088</v>
      </c>
    </row>
    <row r="84" spans="1:7" ht="11.25" customHeight="1">
      <c r="A84" t="s">
        <v>14</v>
      </c>
      <c r="B84" t="s">
        <v>4049</v>
      </c>
      <c r="C84" t="s">
        <v>4050</v>
      </c>
      <c r="D84" t="s">
        <v>4089</v>
      </c>
      <c r="E84" t="s">
        <v>4090</v>
      </c>
      <c r="F84" t="s">
        <v>3906</v>
      </c>
      <c r="G84" t="s">
        <v>4091</v>
      </c>
    </row>
    <row r="85" spans="1:7" ht="11.25" customHeight="1">
      <c r="A85" t="s">
        <v>14</v>
      </c>
      <c r="B85" t="s">
        <v>4049</v>
      </c>
      <c r="C85" t="s">
        <v>4050</v>
      </c>
      <c r="D85" t="s">
        <v>4092</v>
      </c>
      <c r="E85" t="s">
        <v>4093</v>
      </c>
      <c r="F85" t="s">
        <v>3906</v>
      </c>
      <c r="G85" t="s">
        <v>4094</v>
      </c>
    </row>
    <row r="86" spans="1:7" ht="11.25" customHeight="1">
      <c r="A86" t="s">
        <v>14</v>
      </c>
      <c r="B86" t="s">
        <v>4049</v>
      </c>
      <c r="C86" t="s">
        <v>4050</v>
      </c>
      <c r="D86" t="s">
        <v>4095</v>
      </c>
      <c r="E86" t="s">
        <v>4096</v>
      </c>
      <c r="F86" t="s">
        <v>3906</v>
      </c>
      <c r="G86" t="s">
        <v>4097</v>
      </c>
    </row>
    <row r="87" spans="1:7" ht="11.25" customHeight="1">
      <c r="A87" t="s">
        <v>14</v>
      </c>
      <c r="B87" t="s">
        <v>4049</v>
      </c>
      <c r="C87" t="s">
        <v>4050</v>
      </c>
      <c r="D87" t="s">
        <v>4098</v>
      </c>
      <c r="E87" t="s">
        <v>4099</v>
      </c>
      <c r="F87" t="s">
        <v>3906</v>
      </c>
      <c r="G87" t="s">
        <v>4100</v>
      </c>
    </row>
    <row r="88" spans="1:7" ht="11.25" customHeight="1">
      <c r="A88" t="s">
        <v>14</v>
      </c>
      <c r="B88" t="s">
        <v>4049</v>
      </c>
      <c r="C88" t="s">
        <v>4050</v>
      </c>
      <c r="D88" t="s">
        <v>4101</v>
      </c>
      <c r="E88" t="s">
        <v>4102</v>
      </c>
      <c r="F88" t="s">
        <v>3906</v>
      </c>
      <c r="G88" t="s">
        <v>4103</v>
      </c>
    </row>
    <row r="89" spans="1:7" ht="11.25" customHeight="1">
      <c r="A89" t="s">
        <v>14</v>
      </c>
      <c r="B89" t="s">
        <v>4049</v>
      </c>
      <c r="C89" t="s">
        <v>4050</v>
      </c>
      <c r="D89" t="s">
        <v>4104</v>
      </c>
      <c r="E89" t="s">
        <v>4105</v>
      </c>
      <c r="F89" t="s">
        <v>3906</v>
      </c>
      <c r="G89" t="s">
        <v>4106</v>
      </c>
    </row>
    <row r="90" spans="1:7" ht="11.25" customHeight="1">
      <c r="A90" t="s">
        <v>14</v>
      </c>
      <c r="B90" t="s">
        <v>4049</v>
      </c>
      <c r="C90" t="s">
        <v>4050</v>
      </c>
      <c r="D90" t="s">
        <v>4107</v>
      </c>
      <c r="E90" t="s">
        <v>4108</v>
      </c>
      <c r="F90" t="s">
        <v>3906</v>
      </c>
      <c r="G90" t="s">
        <v>4109</v>
      </c>
    </row>
    <row r="91" spans="1:7" ht="11.25" customHeight="1">
      <c r="A91" t="s">
        <v>14</v>
      </c>
      <c r="B91" t="s">
        <v>4110</v>
      </c>
      <c r="C91" t="s">
        <v>4111</v>
      </c>
      <c r="D91" t="s">
        <v>4112</v>
      </c>
      <c r="E91" t="s">
        <v>4113</v>
      </c>
      <c r="F91" t="s">
        <v>3906</v>
      </c>
      <c r="G91" t="s">
        <v>4114</v>
      </c>
    </row>
    <row r="92" spans="1:7" ht="11.25" customHeight="1">
      <c r="A92" t="s">
        <v>14</v>
      </c>
      <c r="B92" t="s">
        <v>4110</v>
      </c>
      <c r="C92" t="s">
        <v>4111</v>
      </c>
      <c r="D92" t="s">
        <v>4115</v>
      </c>
      <c r="E92" t="s">
        <v>4116</v>
      </c>
      <c r="F92" t="s">
        <v>3906</v>
      </c>
      <c r="G92" t="s">
        <v>4117</v>
      </c>
    </row>
    <row r="93" spans="1:7" ht="11.25" customHeight="1">
      <c r="A93" t="s">
        <v>14</v>
      </c>
      <c r="B93" t="s">
        <v>4110</v>
      </c>
      <c r="C93" t="s">
        <v>4111</v>
      </c>
      <c r="D93" t="s">
        <v>4110</v>
      </c>
      <c r="E93" t="s">
        <v>4111</v>
      </c>
      <c r="F93" t="s">
        <v>3903</v>
      </c>
      <c r="G93" t="s">
        <v>4118</v>
      </c>
    </row>
    <row r="94" spans="1:7" ht="11.25" customHeight="1">
      <c r="A94" t="s">
        <v>14</v>
      </c>
      <c r="B94" t="s">
        <v>4110</v>
      </c>
      <c r="C94" t="s">
        <v>4111</v>
      </c>
      <c r="D94" t="s">
        <v>4119</v>
      </c>
      <c r="E94" t="s">
        <v>4120</v>
      </c>
      <c r="F94" t="s">
        <v>3906</v>
      </c>
      <c r="G94" t="s">
        <v>4121</v>
      </c>
    </row>
    <row r="95" spans="1:7" ht="11.25" customHeight="1">
      <c r="A95" t="s">
        <v>14</v>
      </c>
      <c r="B95" t="s">
        <v>4110</v>
      </c>
      <c r="C95" t="s">
        <v>4111</v>
      </c>
      <c r="D95" t="s">
        <v>3963</v>
      </c>
      <c r="E95" t="s">
        <v>4122</v>
      </c>
      <c r="F95" t="s">
        <v>3906</v>
      </c>
      <c r="G95" t="s">
        <v>4123</v>
      </c>
    </row>
    <row r="96" spans="1:7" ht="11.25" customHeight="1">
      <c r="A96" t="s">
        <v>14</v>
      </c>
      <c r="B96" t="s">
        <v>4110</v>
      </c>
      <c r="C96" t="s">
        <v>4111</v>
      </c>
      <c r="D96" t="s">
        <v>4124</v>
      </c>
      <c r="E96" t="s">
        <v>4125</v>
      </c>
      <c r="F96" t="s">
        <v>3906</v>
      </c>
      <c r="G96" t="s">
        <v>4126</v>
      </c>
    </row>
    <row r="97" spans="1:7" ht="11.25" customHeight="1">
      <c r="A97" t="s">
        <v>14</v>
      </c>
      <c r="B97" t="s">
        <v>4110</v>
      </c>
      <c r="C97" t="s">
        <v>4111</v>
      </c>
      <c r="D97" t="s">
        <v>4127</v>
      </c>
      <c r="E97" t="s">
        <v>4128</v>
      </c>
      <c r="F97" t="s">
        <v>3906</v>
      </c>
      <c r="G97" t="s">
        <v>4129</v>
      </c>
    </row>
    <row r="98" spans="1:7" ht="11.25" customHeight="1">
      <c r="A98" t="s">
        <v>14</v>
      </c>
      <c r="B98" t="s">
        <v>4110</v>
      </c>
      <c r="C98" t="s">
        <v>4111</v>
      </c>
      <c r="D98" t="s">
        <v>4130</v>
      </c>
      <c r="E98" t="s">
        <v>4131</v>
      </c>
      <c r="F98" t="s">
        <v>3984</v>
      </c>
      <c r="G98" t="s">
        <v>4132</v>
      </c>
    </row>
    <row r="99" spans="1:7" ht="11.25" customHeight="1">
      <c r="A99" t="s">
        <v>14</v>
      </c>
      <c r="B99" t="s">
        <v>4110</v>
      </c>
      <c r="C99" t="s">
        <v>4111</v>
      </c>
      <c r="D99" t="s">
        <v>4133</v>
      </c>
      <c r="E99" t="s">
        <v>4134</v>
      </c>
      <c r="F99" t="s">
        <v>3906</v>
      </c>
      <c r="G99" t="s">
        <v>4135</v>
      </c>
    </row>
    <row r="100" spans="1:7" ht="11.25" customHeight="1">
      <c r="A100" t="s">
        <v>14</v>
      </c>
      <c r="B100" t="s">
        <v>4110</v>
      </c>
      <c r="C100" t="s">
        <v>4111</v>
      </c>
      <c r="D100" t="s">
        <v>4136</v>
      </c>
      <c r="E100" t="s">
        <v>4137</v>
      </c>
      <c r="F100" t="s">
        <v>3906</v>
      </c>
      <c r="G100" t="s">
        <v>4138</v>
      </c>
    </row>
    <row r="101" spans="1:7" ht="11.25" customHeight="1">
      <c r="A101" t="s">
        <v>14</v>
      </c>
      <c r="B101" t="s">
        <v>4110</v>
      </c>
      <c r="C101" t="s">
        <v>4111</v>
      </c>
      <c r="D101" t="s">
        <v>4139</v>
      </c>
      <c r="E101" t="s">
        <v>4140</v>
      </c>
      <c r="F101" t="s">
        <v>3906</v>
      </c>
      <c r="G101" t="s">
        <v>4141</v>
      </c>
    </row>
    <row r="102" spans="1:7" ht="11.25" customHeight="1">
      <c r="A102" t="s">
        <v>14</v>
      </c>
      <c r="B102" t="s">
        <v>4110</v>
      </c>
      <c r="C102" t="s">
        <v>4111</v>
      </c>
      <c r="D102" t="s">
        <v>4142</v>
      </c>
      <c r="E102" t="s">
        <v>4143</v>
      </c>
      <c r="F102" t="s">
        <v>3906</v>
      </c>
      <c r="G102" t="s">
        <v>4144</v>
      </c>
    </row>
    <row r="103" spans="1:7" ht="11.25" customHeight="1">
      <c r="A103" t="s">
        <v>14</v>
      </c>
      <c r="B103" t="s">
        <v>4110</v>
      </c>
      <c r="C103" t="s">
        <v>4111</v>
      </c>
      <c r="D103" t="s">
        <v>4145</v>
      </c>
      <c r="E103" t="s">
        <v>4146</v>
      </c>
      <c r="F103" t="s">
        <v>3906</v>
      </c>
      <c r="G103" t="s">
        <v>4147</v>
      </c>
    </row>
    <row r="104" spans="1:7" ht="11.25" customHeight="1">
      <c r="A104" t="s">
        <v>14</v>
      </c>
      <c r="B104" t="s">
        <v>4110</v>
      </c>
      <c r="C104" t="s">
        <v>4111</v>
      </c>
      <c r="D104" t="s">
        <v>4148</v>
      </c>
      <c r="E104" t="s">
        <v>4149</v>
      </c>
      <c r="F104" t="s">
        <v>3984</v>
      </c>
      <c r="G104" t="s">
        <v>4150</v>
      </c>
    </row>
    <row r="105" spans="1:7" ht="11.25" customHeight="1">
      <c r="A105" t="s">
        <v>14</v>
      </c>
      <c r="B105" t="s">
        <v>4151</v>
      </c>
      <c r="C105" t="s">
        <v>4152</v>
      </c>
      <c r="D105" t="s">
        <v>3909</v>
      </c>
      <c r="E105" t="s">
        <v>4153</v>
      </c>
      <c r="F105" t="s">
        <v>3906</v>
      </c>
      <c r="G105" t="s">
        <v>4154</v>
      </c>
    </row>
    <row r="106" spans="1:7" ht="11.25" customHeight="1">
      <c r="A106" t="s">
        <v>14</v>
      </c>
      <c r="B106" t="s">
        <v>4151</v>
      </c>
      <c r="C106" t="s">
        <v>4152</v>
      </c>
      <c r="D106" t="s">
        <v>4155</v>
      </c>
      <c r="E106" t="s">
        <v>4156</v>
      </c>
      <c r="F106" t="s">
        <v>3906</v>
      </c>
      <c r="G106" t="s">
        <v>4157</v>
      </c>
    </row>
    <row r="107" spans="1:7" ht="11.25" customHeight="1">
      <c r="A107" t="s">
        <v>14</v>
      </c>
      <c r="B107" t="s">
        <v>4151</v>
      </c>
      <c r="C107" t="s">
        <v>4152</v>
      </c>
      <c r="D107" t="s">
        <v>4151</v>
      </c>
      <c r="E107" t="s">
        <v>4152</v>
      </c>
      <c r="F107" t="s">
        <v>3903</v>
      </c>
      <c r="G107" t="s">
        <v>4158</v>
      </c>
    </row>
    <row r="108" spans="1:7" ht="11.25" customHeight="1">
      <c r="A108" t="s">
        <v>14</v>
      </c>
      <c r="B108" t="s">
        <v>4151</v>
      </c>
      <c r="C108" t="s">
        <v>4152</v>
      </c>
      <c r="D108" t="s">
        <v>4159</v>
      </c>
      <c r="E108" t="s">
        <v>4160</v>
      </c>
      <c r="F108" t="s">
        <v>3906</v>
      </c>
      <c r="G108" t="s">
        <v>4161</v>
      </c>
    </row>
    <row r="109" spans="1:7" ht="11.25" customHeight="1">
      <c r="A109" t="s">
        <v>14</v>
      </c>
      <c r="B109" t="s">
        <v>4151</v>
      </c>
      <c r="C109" t="s">
        <v>4152</v>
      </c>
      <c r="D109" t="s">
        <v>4162</v>
      </c>
      <c r="E109" t="s">
        <v>4163</v>
      </c>
      <c r="F109" t="s">
        <v>3906</v>
      </c>
      <c r="G109" t="s">
        <v>4164</v>
      </c>
    </row>
    <row r="110" spans="1:7" ht="11.25" customHeight="1">
      <c r="A110" t="s">
        <v>14</v>
      </c>
      <c r="B110" t="s">
        <v>4151</v>
      </c>
      <c r="C110" t="s">
        <v>4152</v>
      </c>
      <c r="D110" t="s">
        <v>4165</v>
      </c>
      <c r="E110" t="s">
        <v>4166</v>
      </c>
      <c r="F110" t="s">
        <v>3906</v>
      </c>
      <c r="G110" t="s">
        <v>4167</v>
      </c>
    </row>
    <row r="111" spans="1:7" ht="11.25" customHeight="1">
      <c r="A111" t="s">
        <v>14</v>
      </c>
      <c r="B111" t="s">
        <v>4151</v>
      </c>
      <c r="C111" t="s">
        <v>4152</v>
      </c>
      <c r="D111" t="s">
        <v>4168</v>
      </c>
      <c r="E111" t="s">
        <v>4169</v>
      </c>
      <c r="F111" t="s">
        <v>3906</v>
      </c>
      <c r="G111" t="s">
        <v>4170</v>
      </c>
    </row>
    <row r="112" spans="1:7" ht="11.25" customHeight="1">
      <c r="A112" t="s">
        <v>14</v>
      </c>
      <c r="B112" t="s">
        <v>4151</v>
      </c>
      <c r="C112" t="s">
        <v>4152</v>
      </c>
      <c r="D112" t="s">
        <v>4171</v>
      </c>
      <c r="E112" t="s">
        <v>4172</v>
      </c>
      <c r="F112" t="s">
        <v>3906</v>
      </c>
      <c r="G112" t="s">
        <v>4173</v>
      </c>
    </row>
    <row r="113" spans="1:7" ht="11.25" customHeight="1">
      <c r="A113" t="s">
        <v>14</v>
      </c>
      <c r="B113" t="s">
        <v>4151</v>
      </c>
      <c r="C113" t="s">
        <v>4152</v>
      </c>
      <c r="D113" t="s">
        <v>4174</v>
      </c>
      <c r="E113" t="s">
        <v>4175</v>
      </c>
      <c r="F113" t="s">
        <v>3906</v>
      </c>
      <c r="G113" t="s">
        <v>4176</v>
      </c>
    </row>
    <row r="114" spans="1:7" ht="11.25" customHeight="1">
      <c r="A114" t="s">
        <v>14</v>
      </c>
      <c r="B114" t="s">
        <v>4151</v>
      </c>
      <c r="C114" t="s">
        <v>4152</v>
      </c>
      <c r="D114" t="s">
        <v>4177</v>
      </c>
      <c r="E114" t="s">
        <v>4178</v>
      </c>
      <c r="F114" t="s">
        <v>3906</v>
      </c>
      <c r="G114" t="s">
        <v>4179</v>
      </c>
    </row>
    <row r="115" spans="1:7" ht="11.25" customHeight="1">
      <c r="A115" t="s">
        <v>14</v>
      </c>
      <c r="B115" t="s">
        <v>4180</v>
      </c>
      <c r="C115" t="s">
        <v>4181</v>
      </c>
      <c r="D115" t="s">
        <v>4180</v>
      </c>
      <c r="E115" t="s">
        <v>4181</v>
      </c>
      <c r="F115" t="s">
        <v>4182</v>
      </c>
      <c r="G115" t="s">
        <v>4183</v>
      </c>
    </row>
    <row r="116" spans="1:7" ht="11.25" customHeight="1">
      <c r="A116" t="s">
        <v>14</v>
      </c>
      <c r="B116" t="s">
        <v>4184</v>
      </c>
      <c r="C116" t="s">
        <v>4185</v>
      </c>
      <c r="D116" t="s">
        <v>4184</v>
      </c>
      <c r="E116" t="s">
        <v>4185</v>
      </c>
      <c r="F116" t="s">
        <v>4182</v>
      </c>
      <c r="G116" t="s">
        <v>4186</v>
      </c>
    </row>
    <row r="117" spans="1:7" ht="11.25" customHeight="1">
      <c r="A117" t="s">
        <v>14</v>
      </c>
      <c r="B117" t="s">
        <v>4187</v>
      </c>
      <c r="C117" t="s">
        <v>4188</v>
      </c>
      <c r="D117" t="s">
        <v>4187</v>
      </c>
      <c r="E117" t="s">
        <v>4188</v>
      </c>
      <c r="F117" t="s">
        <v>4182</v>
      </c>
      <c r="G117" t="s">
        <v>4189</v>
      </c>
    </row>
    <row r="118" spans="1:7" ht="11.25" customHeight="1">
      <c r="A118" t="s">
        <v>14</v>
      </c>
      <c r="B118" t="s">
        <v>4190</v>
      </c>
      <c r="C118" t="s">
        <v>4191</v>
      </c>
      <c r="D118" t="s">
        <v>4190</v>
      </c>
      <c r="E118" t="s">
        <v>4191</v>
      </c>
      <c r="F118" t="s">
        <v>4182</v>
      </c>
      <c r="G118" t="s">
        <v>4192</v>
      </c>
    </row>
    <row r="119" spans="1:7" ht="11.25" customHeight="1">
      <c r="A119" t="s">
        <v>14</v>
      </c>
      <c r="B119" t="s">
        <v>4193</v>
      </c>
      <c r="C119" t="s">
        <v>4194</v>
      </c>
      <c r="D119" t="s">
        <v>4193</v>
      </c>
      <c r="E119" t="s">
        <v>4194</v>
      </c>
      <c r="F119" t="s">
        <v>4182</v>
      </c>
      <c r="G119" t="s">
        <v>4195</v>
      </c>
    </row>
    <row r="120" spans="1:7" ht="11.25" customHeight="1">
      <c r="A120" t="s">
        <v>14</v>
      </c>
      <c r="B120" t="s">
        <v>4196</v>
      </c>
      <c r="C120" t="s">
        <v>4197</v>
      </c>
      <c r="D120" t="s">
        <v>4196</v>
      </c>
      <c r="E120" t="s">
        <v>4197</v>
      </c>
      <c r="F120" t="s">
        <v>4182</v>
      </c>
      <c r="G120" t="s">
        <v>4198</v>
      </c>
    </row>
    <row r="121" spans="1:7" ht="11.25" customHeight="1">
      <c r="A121" t="s">
        <v>14</v>
      </c>
      <c r="B121" t="s">
        <v>4199</v>
      </c>
      <c r="C121" t="s">
        <v>4200</v>
      </c>
      <c r="D121" t="s">
        <v>4199</v>
      </c>
      <c r="E121" t="s">
        <v>4200</v>
      </c>
      <c r="F121" t="s">
        <v>4182</v>
      </c>
      <c r="G121" t="s">
        <v>4201</v>
      </c>
    </row>
    <row r="122" spans="1:7" ht="11.25" customHeight="1">
      <c r="A122" t="s">
        <v>14</v>
      </c>
      <c r="B122" t="s">
        <v>4202</v>
      </c>
      <c r="C122" t="s">
        <v>4203</v>
      </c>
      <c r="D122" t="s">
        <v>4202</v>
      </c>
      <c r="E122" t="s">
        <v>4203</v>
      </c>
      <c r="F122" t="s">
        <v>4182</v>
      </c>
      <c r="G122" t="s">
        <v>4204</v>
      </c>
    </row>
    <row r="123" spans="1:7" ht="11.25" customHeight="1">
      <c r="A123" t="s">
        <v>14</v>
      </c>
      <c r="B123" t="s">
        <v>4205</v>
      </c>
      <c r="C123" t="s">
        <v>4206</v>
      </c>
      <c r="D123" t="s">
        <v>4205</v>
      </c>
      <c r="E123" t="s">
        <v>4206</v>
      </c>
      <c r="F123" t="s">
        <v>4182</v>
      </c>
      <c r="G123" t="s">
        <v>4207</v>
      </c>
    </row>
    <row r="124" spans="1:7" ht="11.25" customHeight="1">
      <c r="A124" t="s">
        <v>14</v>
      </c>
      <c r="B124" t="s">
        <v>4208</v>
      </c>
      <c r="C124" t="s">
        <v>4209</v>
      </c>
      <c r="D124" t="s">
        <v>4208</v>
      </c>
      <c r="E124" t="s">
        <v>4209</v>
      </c>
      <c r="F124" t="s">
        <v>4182</v>
      </c>
      <c r="G124" t="s">
        <v>4210</v>
      </c>
    </row>
    <row r="125" spans="1:7" ht="11.25" customHeight="1">
      <c r="A125" t="s">
        <v>14</v>
      </c>
      <c r="B125" t="s">
        <v>4211</v>
      </c>
      <c r="C125" t="s">
        <v>4212</v>
      </c>
      <c r="D125" t="s">
        <v>4211</v>
      </c>
      <c r="E125" t="s">
        <v>4212</v>
      </c>
      <c r="F125" t="s">
        <v>4182</v>
      </c>
      <c r="G125" t="s">
        <v>4213</v>
      </c>
    </row>
    <row r="126" spans="1:7" ht="11.25" customHeight="1">
      <c r="A126" t="s">
        <v>14</v>
      </c>
      <c r="B126" t="s">
        <v>4214</v>
      </c>
      <c r="C126" t="s">
        <v>4215</v>
      </c>
      <c r="D126" t="s">
        <v>4214</v>
      </c>
      <c r="E126" t="s">
        <v>4215</v>
      </c>
      <c r="F126" t="s">
        <v>4182</v>
      </c>
      <c r="G126" t="s">
        <v>4216</v>
      </c>
    </row>
    <row r="127" spans="1:7" ht="11.25" customHeight="1">
      <c r="A127" t="s">
        <v>14</v>
      </c>
      <c r="B127" t="s">
        <v>4217</v>
      </c>
      <c r="C127" t="s">
        <v>4218</v>
      </c>
      <c r="D127" t="s">
        <v>4217</v>
      </c>
      <c r="E127" t="s">
        <v>4218</v>
      </c>
      <c r="F127" t="s">
        <v>4182</v>
      </c>
      <c r="G127" t="s">
        <v>4219</v>
      </c>
    </row>
    <row r="128" spans="1:7" ht="11.25" customHeight="1">
      <c r="A128" t="s">
        <v>14</v>
      </c>
      <c r="B128" t="s">
        <v>4220</v>
      </c>
      <c r="C128" t="s">
        <v>4221</v>
      </c>
      <c r="D128" t="s">
        <v>4222</v>
      </c>
      <c r="E128" t="s">
        <v>4223</v>
      </c>
      <c r="F128" t="s">
        <v>3906</v>
      </c>
      <c r="G128" t="s">
        <v>4224</v>
      </c>
    </row>
    <row r="129" spans="1:7" ht="11.25" customHeight="1">
      <c r="A129" t="s">
        <v>14</v>
      </c>
      <c r="B129" t="s">
        <v>4220</v>
      </c>
      <c r="C129" t="s">
        <v>4221</v>
      </c>
      <c r="D129" t="s">
        <v>4225</v>
      </c>
      <c r="E129" t="s">
        <v>4226</v>
      </c>
      <c r="F129" t="s">
        <v>3906</v>
      </c>
      <c r="G129" t="s">
        <v>4227</v>
      </c>
    </row>
    <row r="130" spans="1:7" ht="11.25" customHeight="1">
      <c r="A130" t="s">
        <v>14</v>
      </c>
      <c r="B130" t="s">
        <v>4220</v>
      </c>
      <c r="C130" t="s">
        <v>4221</v>
      </c>
      <c r="D130" t="s">
        <v>4220</v>
      </c>
      <c r="E130" t="s">
        <v>4221</v>
      </c>
      <c r="F130" t="s">
        <v>3903</v>
      </c>
      <c r="G130" t="s">
        <v>4228</v>
      </c>
    </row>
    <row r="131" spans="1:7" ht="11.25" customHeight="1">
      <c r="A131" t="s">
        <v>14</v>
      </c>
      <c r="B131" t="s">
        <v>4220</v>
      </c>
      <c r="C131" t="s">
        <v>4221</v>
      </c>
      <c r="D131" t="s">
        <v>4229</v>
      </c>
      <c r="E131" t="s">
        <v>4230</v>
      </c>
      <c r="F131" t="s">
        <v>3906</v>
      </c>
      <c r="G131" t="s">
        <v>4231</v>
      </c>
    </row>
    <row r="132" spans="1:7" ht="11.25" customHeight="1">
      <c r="A132" t="s">
        <v>14</v>
      </c>
      <c r="B132" t="s">
        <v>4220</v>
      </c>
      <c r="C132" t="s">
        <v>4221</v>
      </c>
      <c r="D132" t="s">
        <v>4232</v>
      </c>
      <c r="E132" t="s">
        <v>4233</v>
      </c>
      <c r="F132" t="s">
        <v>3906</v>
      </c>
      <c r="G132" t="s">
        <v>4234</v>
      </c>
    </row>
    <row r="133" spans="1:7" ht="11.25" customHeight="1">
      <c r="A133" t="s">
        <v>14</v>
      </c>
      <c r="B133" t="s">
        <v>4220</v>
      </c>
      <c r="C133" t="s">
        <v>4221</v>
      </c>
      <c r="D133" t="s">
        <v>4235</v>
      </c>
      <c r="E133" t="s">
        <v>4236</v>
      </c>
      <c r="F133" t="s">
        <v>3906</v>
      </c>
      <c r="G133" t="s">
        <v>4237</v>
      </c>
    </row>
    <row r="134" spans="1:7" ht="11.25" customHeight="1">
      <c r="A134" t="s">
        <v>14</v>
      </c>
      <c r="B134" t="s">
        <v>4220</v>
      </c>
      <c r="C134" t="s">
        <v>4221</v>
      </c>
      <c r="D134" t="s">
        <v>4238</v>
      </c>
      <c r="E134" t="s">
        <v>4239</v>
      </c>
      <c r="F134" t="s">
        <v>3906</v>
      </c>
      <c r="G134" t="s">
        <v>4240</v>
      </c>
    </row>
    <row r="135" spans="1:7" ht="11.25" customHeight="1">
      <c r="A135" t="s">
        <v>14</v>
      </c>
      <c r="B135" t="s">
        <v>4220</v>
      </c>
      <c r="C135" t="s">
        <v>4221</v>
      </c>
      <c r="D135" t="s">
        <v>4013</v>
      </c>
      <c r="E135" t="s">
        <v>4241</v>
      </c>
      <c r="F135" t="s">
        <v>3906</v>
      </c>
      <c r="G135" t="s">
        <v>4242</v>
      </c>
    </row>
    <row r="136" spans="1:7" ht="11.25" customHeight="1">
      <c r="A136" t="s">
        <v>14</v>
      </c>
      <c r="B136" t="s">
        <v>4220</v>
      </c>
      <c r="C136" t="s">
        <v>4221</v>
      </c>
      <c r="D136" t="s">
        <v>4243</v>
      </c>
      <c r="E136" t="s">
        <v>4244</v>
      </c>
      <c r="F136" t="s">
        <v>3906</v>
      </c>
      <c r="G136" t="s">
        <v>4245</v>
      </c>
    </row>
    <row r="137" spans="1:7" ht="11.25" customHeight="1">
      <c r="A137" t="s">
        <v>14</v>
      </c>
      <c r="B137" t="s">
        <v>4246</v>
      </c>
      <c r="C137" t="s">
        <v>4247</v>
      </c>
      <c r="D137" t="s">
        <v>4248</v>
      </c>
      <c r="E137" t="s">
        <v>4249</v>
      </c>
      <c r="F137" t="s">
        <v>3906</v>
      </c>
      <c r="G137" t="s">
        <v>4250</v>
      </c>
    </row>
    <row r="138" spans="1:7" ht="11.25" customHeight="1">
      <c r="A138" t="s">
        <v>14</v>
      </c>
      <c r="B138" t="s">
        <v>4246</v>
      </c>
      <c r="C138" t="s">
        <v>4247</v>
      </c>
      <c r="D138" t="s">
        <v>3963</v>
      </c>
      <c r="E138" t="s">
        <v>4251</v>
      </c>
      <c r="F138" t="s">
        <v>3906</v>
      </c>
      <c r="G138" t="s">
        <v>4252</v>
      </c>
    </row>
    <row r="139" spans="1:7" ht="11.25" customHeight="1">
      <c r="A139" t="s">
        <v>14</v>
      </c>
      <c r="B139" t="s">
        <v>4246</v>
      </c>
      <c r="C139" t="s">
        <v>4247</v>
      </c>
      <c r="D139" t="s">
        <v>4246</v>
      </c>
      <c r="E139" t="s">
        <v>4247</v>
      </c>
      <c r="F139" t="s">
        <v>3903</v>
      </c>
      <c r="G139" t="s">
        <v>4253</v>
      </c>
    </row>
    <row r="140" spans="1:7" ht="11.25" customHeight="1">
      <c r="A140" t="s">
        <v>14</v>
      </c>
      <c r="B140" t="s">
        <v>4246</v>
      </c>
      <c r="C140" t="s">
        <v>4247</v>
      </c>
      <c r="D140" t="s">
        <v>4254</v>
      </c>
      <c r="E140" t="s">
        <v>4255</v>
      </c>
      <c r="F140" t="s">
        <v>3906</v>
      </c>
      <c r="G140" t="s">
        <v>4256</v>
      </c>
    </row>
    <row r="141" spans="1:7" ht="11.25" customHeight="1">
      <c r="A141" t="s">
        <v>14</v>
      </c>
      <c r="B141" t="s">
        <v>4246</v>
      </c>
      <c r="C141" t="s">
        <v>4247</v>
      </c>
      <c r="D141" t="s">
        <v>4257</v>
      </c>
      <c r="E141" t="s">
        <v>4258</v>
      </c>
      <c r="F141" t="s">
        <v>3906</v>
      </c>
      <c r="G141" t="s">
        <v>4259</v>
      </c>
    </row>
    <row r="142" spans="1:7" ht="11.25" customHeight="1">
      <c r="A142" t="s">
        <v>14</v>
      </c>
      <c r="B142" t="s">
        <v>4246</v>
      </c>
      <c r="C142" t="s">
        <v>4247</v>
      </c>
      <c r="D142" t="s">
        <v>4260</v>
      </c>
      <c r="E142" t="s">
        <v>4261</v>
      </c>
      <c r="F142" t="s">
        <v>3906</v>
      </c>
      <c r="G142" t="s">
        <v>4262</v>
      </c>
    </row>
    <row r="143" spans="1:7" ht="11.25" customHeight="1">
      <c r="A143" t="s">
        <v>14</v>
      </c>
      <c r="B143" t="s">
        <v>4246</v>
      </c>
      <c r="C143" t="s">
        <v>4247</v>
      </c>
      <c r="D143" t="s">
        <v>3917</v>
      </c>
      <c r="E143" t="s">
        <v>4263</v>
      </c>
      <c r="F143" t="s">
        <v>3906</v>
      </c>
      <c r="G143" t="s">
        <v>4264</v>
      </c>
    </row>
    <row r="144" spans="1:7" ht="11.25" customHeight="1">
      <c r="A144" t="s">
        <v>14</v>
      </c>
      <c r="B144" t="s">
        <v>4246</v>
      </c>
      <c r="C144" t="s">
        <v>4247</v>
      </c>
      <c r="D144" t="s">
        <v>4265</v>
      </c>
      <c r="E144" t="s">
        <v>4266</v>
      </c>
      <c r="F144" t="s">
        <v>3984</v>
      </c>
      <c r="G144" t="s">
        <v>4267</v>
      </c>
    </row>
    <row r="145" spans="1:7" ht="11.25" customHeight="1">
      <c r="A145" t="s">
        <v>14</v>
      </c>
      <c r="B145" t="s">
        <v>4246</v>
      </c>
      <c r="C145" t="s">
        <v>4247</v>
      </c>
      <c r="D145" t="s">
        <v>4268</v>
      </c>
      <c r="E145" t="s">
        <v>4269</v>
      </c>
      <c r="F145" t="s">
        <v>3906</v>
      </c>
      <c r="G145" t="s">
        <v>4270</v>
      </c>
    </row>
    <row r="146" spans="1:7" ht="11.25" customHeight="1">
      <c r="A146" t="s">
        <v>14</v>
      </c>
      <c r="B146" t="s">
        <v>4246</v>
      </c>
      <c r="C146" t="s">
        <v>4247</v>
      </c>
      <c r="D146" t="s">
        <v>4271</v>
      </c>
      <c r="E146" t="s">
        <v>4272</v>
      </c>
      <c r="F146" t="s">
        <v>3906</v>
      </c>
      <c r="G146" t="s">
        <v>4273</v>
      </c>
    </row>
    <row r="147" spans="1:7" ht="11.25" customHeight="1">
      <c r="A147" t="s">
        <v>14</v>
      </c>
      <c r="B147" t="s">
        <v>4246</v>
      </c>
      <c r="C147" t="s">
        <v>4247</v>
      </c>
      <c r="D147" t="s">
        <v>4274</v>
      </c>
      <c r="E147" t="s">
        <v>4275</v>
      </c>
      <c r="F147" t="s">
        <v>3906</v>
      </c>
      <c r="G147" t="s">
        <v>4276</v>
      </c>
    </row>
    <row r="148" spans="1:7" ht="11.25" customHeight="1">
      <c r="A148" t="s">
        <v>14</v>
      </c>
      <c r="B148" t="s">
        <v>4246</v>
      </c>
      <c r="C148" t="s">
        <v>4247</v>
      </c>
      <c r="D148" t="s">
        <v>4277</v>
      </c>
      <c r="E148" t="s">
        <v>4278</v>
      </c>
      <c r="F148" t="s">
        <v>3906</v>
      </c>
      <c r="G148" t="s">
        <v>4279</v>
      </c>
    </row>
    <row r="149" spans="1:7" ht="11.25" customHeight="1">
      <c r="A149" t="s">
        <v>14</v>
      </c>
      <c r="B149" t="s">
        <v>4246</v>
      </c>
      <c r="C149" t="s">
        <v>4247</v>
      </c>
      <c r="D149" t="s">
        <v>4280</v>
      </c>
      <c r="E149" t="s">
        <v>4281</v>
      </c>
      <c r="F149" t="s">
        <v>3906</v>
      </c>
      <c r="G149" t="s">
        <v>4282</v>
      </c>
    </row>
    <row r="150" spans="1:7" ht="11.25" customHeight="1">
      <c r="A150" t="s">
        <v>14</v>
      </c>
      <c r="B150" t="s">
        <v>4246</v>
      </c>
      <c r="C150" t="s">
        <v>4247</v>
      </c>
      <c r="D150" t="s">
        <v>4283</v>
      </c>
      <c r="E150" t="s">
        <v>4284</v>
      </c>
      <c r="F150" t="s">
        <v>3906</v>
      </c>
      <c r="G150" t="s">
        <v>4285</v>
      </c>
    </row>
    <row r="151" spans="1:7" ht="11.25" customHeight="1">
      <c r="A151" t="s">
        <v>14</v>
      </c>
      <c r="B151" t="s">
        <v>4246</v>
      </c>
      <c r="C151" t="s">
        <v>4247</v>
      </c>
      <c r="D151" t="s">
        <v>4286</v>
      </c>
      <c r="E151" t="s">
        <v>4287</v>
      </c>
      <c r="F151" t="s">
        <v>3984</v>
      </c>
      <c r="G151" t="s">
        <v>4288</v>
      </c>
    </row>
    <row r="152" spans="1:7" ht="11.25" customHeight="1">
      <c r="A152" t="s">
        <v>14</v>
      </c>
      <c r="B152" t="s">
        <v>4246</v>
      </c>
      <c r="C152" t="s">
        <v>4247</v>
      </c>
      <c r="D152" t="s">
        <v>4289</v>
      </c>
      <c r="E152" t="s">
        <v>4290</v>
      </c>
      <c r="F152" t="s">
        <v>3906</v>
      </c>
      <c r="G152" t="s">
        <v>4291</v>
      </c>
    </row>
    <row r="153" spans="1:7" ht="11.25" customHeight="1">
      <c r="A153" t="s">
        <v>14</v>
      </c>
      <c r="B153" t="s">
        <v>4292</v>
      </c>
      <c r="C153" t="s">
        <v>4293</v>
      </c>
      <c r="D153" t="s">
        <v>4294</v>
      </c>
      <c r="E153" t="s">
        <v>4295</v>
      </c>
      <c r="F153" t="s">
        <v>3906</v>
      </c>
      <c r="G153" t="s">
        <v>4296</v>
      </c>
    </row>
    <row r="154" spans="1:7" ht="11.25" customHeight="1">
      <c r="A154" t="s">
        <v>14</v>
      </c>
      <c r="B154" t="s">
        <v>4292</v>
      </c>
      <c r="C154" t="s">
        <v>4293</v>
      </c>
      <c r="D154" t="s">
        <v>4297</v>
      </c>
      <c r="E154" t="s">
        <v>4298</v>
      </c>
      <c r="F154" t="s">
        <v>3906</v>
      </c>
      <c r="G154" t="s">
        <v>4299</v>
      </c>
    </row>
    <row r="155" spans="1:7" ht="11.25" customHeight="1">
      <c r="A155" t="s">
        <v>14</v>
      </c>
      <c r="B155" t="s">
        <v>4292</v>
      </c>
      <c r="C155" t="s">
        <v>4293</v>
      </c>
      <c r="D155" t="s">
        <v>4300</v>
      </c>
      <c r="E155" t="s">
        <v>4301</v>
      </c>
      <c r="F155" t="s">
        <v>3906</v>
      </c>
      <c r="G155" t="s">
        <v>4302</v>
      </c>
    </row>
    <row r="156" spans="1:7" ht="11.25" customHeight="1">
      <c r="A156" t="s">
        <v>14</v>
      </c>
      <c r="B156" t="s">
        <v>4292</v>
      </c>
      <c r="C156" t="s">
        <v>4293</v>
      </c>
      <c r="D156" t="s">
        <v>4303</v>
      </c>
      <c r="E156" t="s">
        <v>4304</v>
      </c>
      <c r="F156" t="s">
        <v>3906</v>
      </c>
      <c r="G156" t="s">
        <v>4305</v>
      </c>
    </row>
    <row r="157" spans="1:7" ht="11.25" customHeight="1">
      <c r="A157" t="s">
        <v>14</v>
      </c>
      <c r="B157" t="s">
        <v>4292</v>
      </c>
      <c r="C157" t="s">
        <v>4293</v>
      </c>
      <c r="D157" t="s">
        <v>4292</v>
      </c>
      <c r="E157" t="s">
        <v>4293</v>
      </c>
      <c r="F157" t="s">
        <v>3903</v>
      </c>
      <c r="G157" t="s">
        <v>4306</v>
      </c>
    </row>
    <row r="158" spans="1:7" ht="11.25" customHeight="1">
      <c r="A158" t="s">
        <v>14</v>
      </c>
      <c r="B158" t="s">
        <v>4292</v>
      </c>
      <c r="C158" t="s">
        <v>4293</v>
      </c>
      <c r="D158" t="s">
        <v>4307</v>
      </c>
      <c r="E158" t="s">
        <v>4308</v>
      </c>
      <c r="F158" t="s">
        <v>3906</v>
      </c>
      <c r="G158" t="s">
        <v>4309</v>
      </c>
    </row>
    <row r="159" spans="1:7" ht="11.25" customHeight="1">
      <c r="A159" t="s">
        <v>14</v>
      </c>
      <c r="B159" t="s">
        <v>4292</v>
      </c>
      <c r="C159" t="s">
        <v>4293</v>
      </c>
      <c r="D159" t="s">
        <v>4310</v>
      </c>
      <c r="E159" t="s">
        <v>4311</v>
      </c>
      <c r="F159" t="s">
        <v>3906</v>
      </c>
      <c r="G159" t="s">
        <v>4312</v>
      </c>
    </row>
    <row r="160" spans="1:7" ht="11.25" customHeight="1">
      <c r="A160" t="s">
        <v>14</v>
      </c>
      <c r="B160" t="s">
        <v>4292</v>
      </c>
      <c r="C160" t="s">
        <v>4293</v>
      </c>
      <c r="D160" t="s">
        <v>4313</v>
      </c>
      <c r="E160" t="s">
        <v>4314</v>
      </c>
      <c r="F160" t="s">
        <v>3906</v>
      </c>
      <c r="G160" t="s">
        <v>4315</v>
      </c>
    </row>
    <row r="161" spans="1:7" ht="11.25" customHeight="1">
      <c r="A161" t="s">
        <v>14</v>
      </c>
      <c r="B161" t="s">
        <v>4292</v>
      </c>
      <c r="C161" t="s">
        <v>4293</v>
      </c>
      <c r="D161" t="s">
        <v>4316</v>
      </c>
      <c r="E161" t="s">
        <v>4317</v>
      </c>
      <c r="F161" t="s">
        <v>3906</v>
      </c>
      <c r="G161" t="s">
        <v>4318</v>
      </c>
    </row>
    <row r="162" spans="1:7" ht="11.25" customHeight="1">
      <c r="A162" t="s">
        <v>14</v>
      </c>
      <c r="B162" t="s">
        <v>4292</v>
      </c>
      <c r="C162" t="s">
        <v>4293</v>
      </c>
      <c r="D162" t="s">
        <v>4319</v>
      </c>
      <c r="E162" t="s">
        <v>4320</v>
      </c>
      <c r="F162" t="s">
        <v>3906</v>
      </c>
      <c r="G162" t="s">
        <v>4321</v>
      </c>
    </row>
    <row r="163" spans="1:7" ht="11.25" customHeight="1">
      <c r="A163" t="s">
        <v>14</v>
      </c>
      <c r="B163" t="s">
        <v>4292</v>
      </c>
      <c r="C163" t="s">
        <v>4293</v>
      </c>
      <c r="D163" t="s">
        <v>4322</v>
      </c>
      <c r="E163" t="s">
        <v>4323</v>
      </c>
      <c r="F163" t="s">
        <v>3906</v>
      </c>
      <c r="G163" t="s">
        <v>4324</v>
      </c>
    </row>
    <row r="164" spans="1:7" ht="11.25" customHeight="1">
      <c r="A164" t="s">
        <v>14</v>
      </c>
      <c r="B164" t="s">
        <v>4292</v>
      </c>
      <c r="C164" t="s">
        <v>4293</v>
      </c>
      <c r="D164" t="s">
        <v>4325</v>
      </c>
      <c r="E164" t="s">
        <v>4326</v>
      </c>
      <c r="F164" t="s">
        <v>3906</v>
      </c>
      <c r="G164" t="s">
        <v>4327</v>
      </c>
    </row>
    <row r="165" spans="1:7" ht="11.25" customHeight="1">
      <c r="A165" t="s">
        <v>14</v>
      </c>
      <c r="B165" t="s">
        <v>4292</v>
      </c>
      <c r="C165" t="s">
        <v>4293</v>
      </c>
      <c r="D165" t="s">
        <v>4328</v>
      </c>
      <c r="E165" t="s">
        <v>4329</v>
      </c>
      <c r="F165" t="s">
        <v>4075</v>
      </c>
      <c r="G165" t="s">
        <v>4330</v>
      </c>
    </row>
    <row r="166" spans="1:7" ht="11.25" customHeight="1">
      <c r="A166" t="s">
        <v>14</v>
      </c>
      <c r="B166" t="s">
        <v>4292</v>
      </c>
      <c r="C166" t="s">
        <v>4293</v>
      </c>
      <c r="D166" t="s">
        <v>4331</v>
      </c>
      <c r="E166" t="s">
        <v>4332</v>
      </c>
      <c r="F166" t="s">
        <v>3906</v>
      </c>
      <c r="G166" t="s">
        <v>4333</v>
      </c>
    </row>
    <row r="167" spans="1:7" ht="11.25" customHeight="1">
      <c r="A167" t="s">
        <v>14</v>
      </c>
      <c r="B167" t="s">
        <v>4292</v>
      </c>
      <c r="C167" t="s">
        <v>4293</v>
      </c>
      <c r="D167" t="s">
        <v>4334</v>
      </c>
      <c r="E167" t="s">
        <v>4335</v>
      </c>
      <c r="F167" t="s">
        <v>3906</v>
      </c>
      <c r="G167" t="s">
        <v>4336</v>
      </c>
    </row>
    <row r="168" spans="1:7" ht="11.25" customHeight="1">
      <c r="A168" t="s">
        <v>14</v>
      </c>
      <c r="B168" t="s">
        <v>4292</v>
      </c>
      <c r="C168" t="s">
        <v>4293</v>
      </c>
      <c r="D168" t="s">
        <v>4337</v>
      </c>
      <c r="E168" t="s">
        <v>4338</v>
      </c>
      <c r="F168" t="s">
        <v>3906</v>
      </c>
      <c r="G168" t="s">
        <v>4339</v>
      </c>
    </row>
    <row r="169" spans="1:7" ht="11.25" customHeight="1">
      <c r="A169" t="s">
        <v>14</v>
      </c>
      <c r="B169" t="s">
        <v>4292</v>
      </c>
      <c r="C169" t="s">
        <v>4293</v>
      </c>
      <c r="D169" t="s">
        <v>4340</v>
      </c>
      <c r="E169" t="s">
        <v>4341</v>
      </c>
      <c r="F169" t="s">
        <v>3906</v>
      </c>
      <c r="G169" t="s">
        <v>4342</v>
      </c>
    </row>
    <row r="170" spans="1:7" ht="11.25" customHeight="1">
      <c r="A170" t="s">
        <v>14</v>
      </c>
      <c r="B170" t="s">
        <v>4292</v>
      </c>
      <c r="C170" t="s">
        <v>4293</v>
      </c>
      <c r="D170" t="s">
        <v>4343</v>
      </c>
      <c r="E170" t="s">
        <v>4344</v>
      </c>
      <c r="F170" t="s">
        <v>3906</v>
      </c>
      <c r="G170" t="s">
        <v>4345</v>
      </c>
    </row>
    <row r="171" spans="1:7" ht="11.25" customHeight="1">
      <c r="A171" t="s">
        <v>14</v>
      </c>
      <c r="B171" t="s">
        <v>4292</v>
      </c>
      <c r="C171" t="s">
        <v>4293</v>
      </c>
      <c r="D171" t="s">
        <v>4346</v>
      </c>
      <c r="E171" t="s">
        <v>4347</v>
      </c>
      <c r="F171" t="s">
        <v>3906</v>
      </c>
      <c r="G171" t="s">
        <v>4348</v>
      </c>
    </row>
    <row r="172" spans="1:7" ht="11.25" customHeight="1">
      <c r="A172" t="s">
        <v>14</v>
      </c>
      <c r="B172" t="s">
        <v>4292</v>
      </c>
      <c r="C172" t="s">
        <v>4293</v>
      </c>
      <c r="D172" t="s">
        <v>4349</v>
      </c>
      <c r="E172" t="s">
        <v>4350</v>
      </c>
      <c r="F172" t="s">
        <v>3906</v>
      </c>
      <c r="G172" t="s">
        <v>4351</v>
      </c>
    </row>
    <row r="173" spans="1:7" ht="11.25" customHeight="1">
      <c r="A173" t="s">
        <v>14</v>
      </c>
      <c r="B173" t="s">
        <v>4292</v>
      </c>
      <c r="C173" t="s">
        <v>4293</v>
      </c>
      <c r="D173" t="s">
        <v>4352</v>
      </c>
      <c r="E173" t="s">
        <v>4353</v>
      </c>
      <c r="F173" t="s">
        <v>3984</v>
      </c>
      <c r="G173" t="s">
        <v>4354</v>
      </c>
    </row>
    <row r="174" spans="1:7" ht="11.25" customHeight="1">
      <c r="A174" t="s">
        <v>14</v>
      </c>
      <c r="B174" t="s">
        <v>4292</v>
      </c>
      <c r="C174" t="s">
        <v>4293</v>
      </c>
      <c r="D174" t="s">
        <v>4355</v>
      </c>
      <c r="E174" t="s">
        <v>4356</v>
      </c>
      <c r="F174" t="s">
        <v>3906</v>
      </c>
      <c r="G174" t="s">
        <v>4357</v>
      </c>
    </row>
    <row r="175" spans="1:7" ht="11.25" customHeight="1">
      <c r="A175" t="s">
        <v>14</v>
      </c>
      <c r="B175" t="s">
        <v>4292</v>
      </c>
      <c r="C175" t="s">
        <v>4293</v>
      </c>
      <c r="D175" t="s">
        <v>4358</v>
      </c>
      <c r="E175" t="s">
        <v>4359</v>
      </c>
      <c r="F175" t="s">
        <v>3906</v>
      </c>
      <c r="G175" t="s">
        <v>4360</v>
      </c>
    </row>
    <row r="176" spans="1:7" ht="11.25" customHeight="1">
      <c r="A176" t="s">
        <v>14</v>
      </c>
      <c r="B176" t="s">
        <v>4292</v>
      </c>
      <c r="C176" t="s">
        <v>4293</v>
      </c>
      <c r="D176" t="s">
        <v>4361</v>
      </c>
      <c r="E176" t="s">
        <v>4362</v>
      </c>
      <c r="F176" t="s">
        <v>3906</v>
      </c>
      <c r="G176" t="s">
        <v>4363</v>
      </c>
    </row>
    <row r="177" spans="1:7" ht="11.25" customHeight="1">
      <c r="A177" t="s">
        <v>14</v>
      </c>
      <c r="B177" t="s">
        <v>4292</v>
      </c>
      <c r="C177" t="s">
        <v>4293</v>
      </c>
      <c r="D177" t="s">
        <v>4364</v>
      </c>
      <c r="E177" t="s">
        <v>4365</v>
      </c>
      <c r="F177" t="s">
        <v>3906</v>
      </c>
      <c r="G177" t="s">
        <v>4366</v>
      </c>
    </row>
    <row r="178" spans="1:7" ht="11.25" customHeight="1">
      <c r="A178" t="s">
        <v>14</v>
      </c>
      <c r="B178" t="s">
        <v>4292</v>
      </c>
      <c r="C178" t="s">
        <v>4293</v>
      </c>
      <c r="D178" t="s">
        <v>4367</v>
      </c>
      <c r="E178" t="s">
        <v>4368</v>
      </c>
      <c r="F178" t="s">
        <v>3906</v>
      </c>
      <c r="G178" t="s">
        <v>4369</v>
      </c>
    </row>
    <row r="179" spans="1:7" ht="11.25" customHeight="1">
      <c r="A179" t="s">
        <v>14</v>
      </c>
      <c r="B179" t="s">
        <v>4292</v>
      </c>
      <c r="C179" t="s">
        <v>4293</v>
      </c>
      <c r="D179" t="s">
        <v>4370</v>
      </c>
      <c r="E179" t="s">
        <v>4371</v>
      </c>
      <c r="F179" t="s">
        <v>3906</v>
      </c>
      <c r="G179" t="s">
        <v>4372</v>
      </c>
    </row>
    <row r="180" spans="1:7" ht="11.25" customHeight="1">
      <c r="A180" t="s">
        <v>14</v>
      </c>
      <c r="B180" t="s">
        <v>4292</v>
      </c>
      <c r="C180" t="s">
        <v>4293</v>
      </c>
      <c r="D180" t="s">
        <v>4373</v>
      </c>
      <c r="E180" t="s">
        <v>4374</v>
      </c>
      <c r="F180" t="s">
        <v>3906</v>
      </c>
      <c r="G180" t="s">
        <v>4375</v>
      </c>
    </row>
    <row r="181" spans="1:7" ht="11.25" customHeight="1">
      <c r="A181" t="s">
        <v>14</v>
      </c>
      <c r="B181" t="s">
        <v>4376</v>
      </c>
      <c r="C181" t="s">
        <v>4377</v>
      </c>
      <c r="D181" t="s">
        <v>4378</v>
      </c>
      <c r="E181" t="s">
        <v>4379</v>
      </c>
      <c r="F181" t="s">
        <v>3906</v>
      </c>
      <c r="G181" t="s">
        <v>4380</v>
      </c>
    </row>
    <row r="182" spans="1:7" ht="11.25" customHeight="1">
      <c r="A182" t="s">
        <v>14</v>
      </c>
      <c r="B182" t="s">
        <v>4376</v>
      </c>
      <c r="C182" t="s">
        <v>4377</v>
      </c>
      <c r="D182" t="s">
        <v>4381</v>
      </c>
      <c r="E182" t="s">
        <v>4382</v>
      </c>
      <c r="F182" t="s">
        <v>3906</v>
      </c>
      <c r="G182" t="s">
        <v>4383</v>
      </c>
    </row>
    <row r="183" spans="1:7" ht="11.25" customHeight="1">
      <c r="A183" t="s">
        <v>14</v>
      </c>
      <c r="B183" t="s">
        <v>4376</v>
      </c>
      <c r="C183" t="s">
        <v>4377</v>
      </c>
      <c r="D183" t="s">
        <v>4384</v>
      </c>
      <c r="E183" t="s">
        <v>4385</v>
      </c>
      <c r="F183" t="s">
        <v>3906</v>
      </c>
      <c r="G183" t="s">
        <v>4386</v>
      </c>
    </row>
    <row r="184" spans="1:7" ht="11.25" customHeight="1">
      <c r="A184" t="s">
        <v>14</v>
      </c>
      <c r="B184" t="s">
        <v>4376</v>
      </c>
      <c r="C184" t="s">
        <v>4377</v>
      </c>
      <c r="D184" t="s">
        <v>4376</v>
      </c>
      <c r="E184" t="s">
        <v>4377</v>
      </c>
      <c r="F184" t="s">
        <v>3903</v>
      </c>
      <c r="G184" t="s">
        <v>4387</v>
      </c>
    </row>
    <row r="185" spans="1:7" ht="11.25" customHeight="1">
      <c r="A185" t="s">
        <v>14</v>
      </c>
      <c r="B185" t="s">
        <v>4376</v>
      </c>
      <c r="C185" t="s">
        <v>4377</v>
      </c>
      <c r="D185" t="s">
        <v>4388</v>
      </c>
      <c r="E185" t="s">
        <v>4389</v>
      </c>
      <c r="F185" t="s">
        <v>3906</v>
      </c>
      <c r="G185" t="s">
        <v>4390</v>
      </c>
    </row>
    <row r="186" spans="1:7" ht="11.25" customHeight="1">
      <c r="A186" t="s">
        <v>14</v>
      </c>
      <c r="B186" t="s">
        <v>4376</v>
      </c>
      <c r="C186" t="s">
        <v>4377</v>
      </c>
      <c r="D186" t="s">
        <v>4391</v>
      </c>
      <c r="E186" t="s">
        <v>4392</v>
      </c>
      <c r="F186" t="s">
        <v>3906</v>
      </c>
      <c r="G186" t="s">
        <v>4393</v>
      </c>
    </row>
    <row r="187" spans="1:7" ht="11.25" customHeight="1">
      <c r="A187" t="s">
        <v>14</v>
      </c>
      <c r="B187" t="s">
        <v>4376</v>
      </c>
      <c r="C187" t="s">
        <v>4377</v>
      </c>
      <c r="D187" t="s">
        <v>4394</v>
      </c>
      <c r="E187" t="s">
        <v>4395</v>
      </c>
      <c r="F187" t="s">
        <v>3906</v>
      </c>
      <c r="G187" t="s">
        <v>4396</v>
      </c>
    </row>
    <row r="188" spans="1:7" ht="11.25" customHeight="1">
      <c r="A188" t="s">
        <v>14</v>
      </c>
      <c r="B188" t="s">
        <v>4376</v>
      </c>
      <c r="C188" t="s">
        <v>4377</v>
      </c>
      <c r="D188" t="s">
        <v>4397</v>
      </c>
      <c r="E188" t="s">
        <v>4398</v>
      </c>
      <c r="F188" t="s">
        <v>3906</v>
      </c>
      <c r="G188" t="s">
        <v>4399</v>
      </c>
    </row>
    <row r="189" spans="1:7" ht="11.25" customHeight="1">
      <c r="A189" t="s">
        <v>14</v>
      </c>
      <c r="B189" t="s">
        <v>4376</v>
      </c>
      <c r="C189" t="s">
        <v>4377</v>
      </c>
      <c r="D189" t="s">
        <v>4400</v>
      </c>
      <c r="E189" t="s">
        <v>4401</v>
      </c>
      <c r="F189" t="s">
        <v>3906</v>
      </c>
      <c r="G189" t="s">
        <v>4402</v>
      </c>
    </row>
    <row r="190" spans="1:7" ht="11.25" customHeight="1">
      <c r="A190" t="s">
        <v>14</v>
      </c>
      <c r="B190" t="s">
        <v>4376</v>
      </c>
      <c r="C190" t="s">
        <v>4377</v>
      </c>
      <c r="D190" t="s">
        <v>4403</v>
      </c>
      <c r="E190" t="s">
        <v>4404</v>
      </c>
      <c r="F190" t="s">
        <v>3906</v>
      </c>
      <c r="G190" t="s">
        <v>4405</v>
      </c>
    </row>
    <row r="191" spans="1:7" ht="11.25" customHeight="1">
      <c r="A191" t="s">
        <v>14</v>
      </c>
      <c r="B191" t="s">
        <v>4376</v>
      </c>
      <c r="C191" t="s">
        <v>4377</v>
      </c>
      <c r="D191" t="s">
        <v>4406</v>
      </c>
      <c r="E191" t="s">
        <v>4407</v>
      </c>
      <c r="F191" t="s">
        <v>3906</v>
      </c>
      <c r="G191" t="s">
        <v>4408</v>
      </c>
    </row>
    <row r="192" spans="1:7" ht="11.25" customHeight="1">
      <c r="A192" t="s">
        <v>14</v>
      </c>
      <c r="B192" t="s">
        <v>4376</v>
      </c>
      <c r="C192" t="s">
        <v>4377</v>
      </c>
      <c r="D192" t="s">
        <v>4409</v>
      </c>
      <c r="E192" t="s">
        <v>4410</v>
      </c>
      <c r="F192" t="s">
        <v>3906</v>
      </c>
      <c r="G192" t="s">
        <v>4411</v>
      </c>
    </row>
    <row r="193" spans="1:7" ht="11.25" customHeight="1">
      <c r="A193" t="s">
        <v>14</v>
      </c>
      <c r="B193" t="s">
        <v>4376</v>
      </c>
      <c r="C193" t="s">
        <v>4377</v>
      </c>
      <c r="D193" t="s">
        <v>4412</v>
      </c>
      <c r="E193" t="s">
        <v>4413</v>
      </c>
      <c r="F193" t="s">
        <v>3906</v>
      </c>
      <c r="G193" t="s">
        <v>4414</v>
      </c>
    </row>
    <row r="194" spans="1:7" ht="11.25" customHeight="1">
      <c r="A194" t="s">
        <v>14</v>
      </c>
      <c r="B194" t="s">
        <v>4376</v>
      </c>
      <c r="C194" t="s">
        <v>4377</v>
      </c>
      <c r="D194" t="s">
        <v>4415</v>
      </c>
      <c r="E194" t="s">
        <v>4416</v>
      </c>
      <c r="F194" t="s">
        <v>3906</v>
      </c>
      <c r="G194" t="s">
        <v>4417</v>
      </c>
    </row>
    <row r="195" spans="1:7" ht="11.25" customHeight="1">
      <c r="A195" t="s">
        <v>14</v>
      </c>
      <c r="B195" t="s">
        <v>4376</v>
      </c>
      <c r="C195" t="s">
        <v>4377</v>
      </c>
      <c r="D195" t="s">
        <v>4418</v>
      </c>
      <c r="E195" t="s">
        <v>4419</v>
      </c>
      <c r="F195" t="s">
        <v>3906</v>
      </c>
      <c r="G195" t="s">
        <v>4420</v>
      </c>
    </row>
    <row r="196" spans="1:7" ht="11.25" customHeight="1">
      <c r="A196" t="s">
        <v>14</v>
      </c>
      <c r="B196" t="s">
        <v>4421</v>
      </c>
      <c r="C196" t="s">
        <v>4422</v>
      </c>
      <c r="D196" t="s">
        <v>4421</v>
      </c>
      <c r="E196" t="s">
        <v>4422</v>
      </c>
      <c r="F196" t="s">
        <v>4182</v>
      </c>
      <c r="G196" t="s">
        <v>4423</v>
      </c>
    </row>
    <row r="197" spans="1:7" ht="11.25" customHeight="1">
      <c r="A197" t="s">
        <v>14</v>
      </c>
      <c r="B197" t="s">
        <v>4424</v>
      </c>
      <c r="C197" t="s">
        <v>4425</v>
      </c>
      <c r="D197" t="s">
        <v>4424</v>
      </c>
      <c r="E197" t="s">
        <v>4425</v>
      </c>
      <c r="F197" t="s">
        <v>4182</v>
      </c>
      <c r="G197" t="s">
        <v>4426</v>
      </c>
    </row>
    <row r="198" spans="1:7" ht="11.25" customHeight="1">
      <c r="A198" t="s">
        <v>14</v>
      </c>
      <c r="B198" t="s">
        <v>4427</v>
      </c>
      <c r="C198" t="s">
        <v>4428</v>
      </c>
      <c r="D198" t="s">
        <v>4427</v>
      </c>
      <c r="E198" t="s">
        <v>4428</v>
      </c>
      <c r="F198" t="s">
        <v>4182</v>
      </c>
      <c r="G198" t="s">
        <v>4429</v>
      </c>
    </row>
    <row r="199" spans="1:7" ht="11.25" customHeight="1">
      <c r="A199" t="s">
        <v>14</v>
      </c>
      <c r="B199" t="s">
        <v>4430</v>
      </c>
      <c r="C199" t="s">
        <v>4431</v>
      </c>
      <c r="D199" t="s">
        <v>4432</v>
      </c>
      <c r="E199" t="s">
        <v>4433</v>
      </c>
      <c r="F199" t="s">
        <v>3906</v>
      </c>
      <c r="G199" t="s">
        <v>4434</v>
      </c>
    </row>
    <row r="200" spans="1:7" ht="11.25" customHeight="1">
      <c r="A200" t="s">
        <v>14</v>
      </c>
      <c r="B200" t="s">
        <v>4430</v>
      </c>
      <c r="C200" t="s">
        <v>4431</v>
      </c>
      <c r="D200" t="s">
        <v>4435</v>
      </c>
      <c r="E200" t="s">
        <v>4436</v>
      </c>
      <c r="F200" t="s">
        <v>3906</v>
      </c>
      <c r="G200" t="s">
        <v>4437</v>
      </c>
    </row>
    <row r="201" spans="1:7" ht="11.25" customHeight="1">
      <c r="A201" t="s">
        <v>14</v>
      </c>
      <c r="B201" t="s">
        <v>4430</v>
      </c>
      <c r="C201" t="s">
        <v>4431</v>
      </c>
      <c r="D201" t="s">
        <v>4438</v>
      </c>
      <c r="E201" t="s">
        <v>4439</v>
      </c>
      <c r="F201" t="s">
        <v>3906</v>
      </c>
      <c r="G201" t="s">
        <v>4440</v>
      </c>
    </row>
    <row r="202" spans="1:7" ht="11.25" customHeight="1">
      <c r="A202" t="s">
        <v>14</v>
      </c>
      <c r="B202" t="s">
        <v>4430</v>
      </c>
      <c r="C202" t="s">
        <v>4431</v>
      </c>
      <c r="D202" t="s">
        <v>4441</v>
      </c>
      <c r="E202" t="s">
        <v>4442</v>
      </c>
      <c r="F202" t="s">
        <v>3906</v>
      </c>
      <c r="G202" t="s">
        <v>4443</v>
      </c>
    </row>
    <row r="203" spans="1:7" ht="11.25" customHeight="1">
      <c r="A203" t="s">
        <v>14</v>
      </c>
      <c r="B203" t="s">
        <v>4430</v>
      </c>
      <c r="C203" t="s">
        <v>4431</v>
      </c>
      <c r="D203" t="s">
        <v>4444</v>
      </c>
      <c r="E203" t="s">
        <v>4445</v>
      </c>
      <c r="F203" t="s">
        <v>3906</v>
      </c>
      <c r="G203" t="s">
        <v>4446</v>
      </c>
    </row>
    <row r="204" spans="1:7" ht="11.25" customHeight="1">
      <c r="A204" t="s">
        <v>14</v>
      </c>
      <c r="B204" t="s">
        <v>4430</v>
      </c>
      <c r="C204" t="s">
        <v>4431</v>
      </c>
      <c r="D204" t="s">
        <v>4447</v>
      </c>
      <c r="E204" t="s">
        <v>4448</v>
      </c>
      <c r="F204" t="s">
        <v>3906</v>
      </c>
      <c r="G204" t="s">
        <v>4449</v>
      </c>
    </row>
    <row r="205" spans="1:7" ht="11.25" customHeight="1">
      <c r="A205" t="s">
        <v>14</v>
      </c>
      <c r="B205" t="s">
        <v>4430</v>
      </c>
      <c r="C205" t="s">
        <v>4431</v>
      </c>
      <c r="D205" t="s">
        <v>4430</v>
      </c>
      <c r="E205" t="s">
        <v>4431</v>
      </c>
      <c r="F205" t="s">
        <v>3903</v>
      </c>
      <c r="G205" t="s">
        <v>4450</v>
      </c>
    </row>
    <row r="206" spans="1:7" ht="11.25" customHeight="1">
      <c r="A206" t="s">
        <v>14</v>
      </c>
      <c r="B206" t="s">
        <v>4430</v>
      </c>
      <c r="C206" t="s">
        <v>4431</v>
      </c>
      <c r="D206" t="s">
        <v>4451</v>
      </c>
      <c r="E206" t="s">
        <v>4452</v>
      </c>
      <c r="F206" t="s">
        <v>3906</v>
      </c>
      <c r="G206" t="s">
        <v>4453</v>
      </c>
    </row>
    <row r="207" spans="1:7" ht="11.25" customHeight="1">
      <c r="A207" t="s">
        <v>14</v>
      </c>
      <c r="B207" t="s">
        <v>4430</v>
      </c>
      <c r="C207" t="s">
        <v>4431</v>
      </c>
      <c r="D207" t="s">
        <v>4454</v>
      </c>
      <c r="E207" t="s">
        <v>4455</v>
      </c>
      <c r="F207" t="s">
        <v>3906</v>
      </c>
      <c r="G207" t="s">
        <v>4456</v>
      </c>
    </row>
    <row r="208" spans="1:7" ht="11.25" customHeight="1">
      <c r="A208" t="s">
        <v>14</v>
      </c>
      <c r="B208" t="s">
        <v>4430</v>
      </c>
      <c r="C208" t="s">
        <v>4431</v>
      </c>
      <c r="D208" t="s">
        <v>4457</v>
      </c>
      <c r="E208" t="s">
        <v>4458</v>
      </c>
      <c r="F208" t="s">
        <v>3906</v>
      </c>
      <c r="G208" t="s">
        <v>4459</v>
      </c>
    </row>
    <row r="209" spans="1:7" ht="11.25" customHeight="1">
      <c r="A209" t="s">
        <v>14</v>
      </c>
      <c r="B209" t="s">
        <v>4430</v>
      </c>
      <c r="C209" t="s">
        <v>4431</v>
      </c>
      <c r="D209" t="s">
        <v>4460</v>
      </c>
      <c r="E209" t="s">
        <v>4461</v>
      </c>
      <c r="F209" t="s">
        <v>3906</v>
      </c>
      <c r="G209" t="s">
        <v>4462</v>
      </c>
    </row>
    <row r="210" spans="1:7" ht="11.25" customHeight="1">
      <c r="A210" t="s">
        <v>14</v>
      </c>
      <c r="B210" t="s">
        <v>4430</v>
      </c>
      <c r="C210" t="s">
        <v>4431</v>
      </c>
      <c r="D210" t="s">
        <v>3917</v>
      </c>
      <c r="E210" t="s">
        <v>4463</v>
      </c>
      <c r="F210" t="s">
        <v>3906</v>
      </c>
      <c r="G210" t="s">
        <v>4464</v>
      </c>
    </row>
    <row r="211" spans="1:7" ht="11.25" customHeight="1">
      <c r="A211" t="s">
        <v>14</v>
      </c>
      <c r="B211" t="s">
        <v>4430</v>
      </c>
      <c r="C211" t="s">
        <v>4431</v>
      </c>
      <c r="D211" t="s">
        <v>4465</v>
      </c>
      <c r="E211" t="s">
        <v>4466</v>
      </c>
      <c r="F211" t="s">
        <v>3906</v>
      </c>
      <c r="G211" t="s">
        <v>4467</v>
      </c>
    </row>
    <row r="212" spans="1:7" ht="11.25" customHeight="1">
      <c r="A212" t="s">
        <v>14</v>
      </c>
      <c r="B212" t="s">
        <v>4430</v>
      </c>
      <c r="C212" t="s">
        <v>4431</v>
      </c>
      <c r="D212" t="s">
        <v>4468</v>
      </c>
      <c r="E212" t="s">
        <v>4469</v>
      </c>
      <c r="F212" t="s">
        <v>3906</v>
      </c>
      <c r="G212" t="s">
        <v>4470</v>
      </c>
    </row>
    <row r="213" spans="1:7" ht="11.25" customHeight="1">
      <c r="A213" t="s">
        <v>14</v>
      </c>
      <c r="B213" t="s">
        <v>4430</v>
      </c>
      <c r="C213" t="s">
        <v>4431</v>
      </c>
      <c r="D213" t="s">
        <v>4471</v>
      </c>
      <c r="E213" t="s">
        <v>4472</v>
      </c>
      <c r="F213" t="s">
        <v>3906</v>
      </c>
      <c r="G213" t="s">
        <v>4473</v>
      </c>
    </row>
    <row r="214" spans="1:7" ht="11.25" customHeight="1">
      <c r="A214" t="s">
        <v>14</v>
      </c>
      <c r="B214" t="s">
        <v>4430</v>
      </c>
      <c r="C214" t="s">
        <v>4431</v>
      </c>
      <c r="D214" t="s">
        <v>4474</v>
      </c>
      <c r="E214" t="s">
        <v>4475</v>
      </c>
      <c r="F214" t="s">
        <v>3906</v>
      </c>
      <c r="G214" t="s">
        <v>4476</v>
      </c>
    </row>
    <row r="215" spans="1:7" ht="11.25" customHeight="1">
      <c r="A215" t="s">
        <v>14</v>
      </c>
      <c r="B215" t="s">
        <v>4430</v>
      </c>
      <c r="C215" t="s">
        <v>4431</v>
      </c>
      <c r="D215" t="s">
        <v>4477</v>
      </c>
      <c r="E215" t="s">
        <v>4478</v>
      </c>
      <c r="F215" t="s">
        <v>3906</v>
      </c>
      <c r="G215" t="s">
        <v>4479</v>
      </c>
    </row>
    <row r="216" spans="1:7" ht="11.25" customHeight="1">
      <c r="A216" t="s">
        <v>14</v>
      </c>
      <c r="B216" t="s">
        <v>4480</v>
      </c>
      <c r="C216" t="s">
        <v>4481</v>
      </c>
      <c r="D216" t="s">
        <v>4482</v>
      </c>
      <c r="E216" t="s">
        <v>4483</v>
      </c>
      <c r="F216" t="s">
        <v>3906</v>
      </c>
      <c r="G216" t="s">
        <v>4484</v>
      </c>
    </row>
    <row r="217" spans="1:7" ht="11.25" customHeight="1">
      <c r="A217" t="s">
        <v>14</v>
      </c>
      <c r="B217" t="s">
        <v>4480</v>
      </c>
      <c r="C217" t="s">
        <v>4481</v>
      </c>
      <c r="D217" t="s">
        <v>4485</v>
      </c>
      <c r="E217" t="s">
        <v>4486</v>
      </c>
      <c r="F217" t="s">
        <v>3906</v>
      </c>
      <c r="G217" t="s">
        <v>4487</v>
      </c>
    </row>
    <row r="218" spans="1:7" ht="11.25" customHeight="1">
      <c r="A218" t="s">
        <v>14</v>
      </c>
      <c r="B218" t="s">
        <v>4480</v>
      </c>
      <c r="C218" t="s">
        <v>4481</v>
      </c>
      <c r="D218" t="s">
        <v>4480</v>
      </c>
      <c r="E218" t="s">
        <v>4481</v>
      </c>
      <c r="F218" t="s">
        <v>3903</v>
      </c>
      <c r="G218" t="s">
        <v>4488</v>
      </c>
    </row>
    <row r="219" spans="1:7" ht="11.25" customHeight="1">
      <c r="A219" t="s">
        <v>14</v>
      </c>
      <c r="B219" t="s">
        <v>4480</v>
      </c>
      <c r="C219" t="s">
        <v>4481</v>
      </c>
      <c r="D219" t="s">
        <v>4489</v>
      </c>
      <c r="E219" t="s">
        <v>4490</v>
      </c>
      <c r="F219" t="s">
        <v>3906</v>
      </c>
      <c r="G219" t="s">
        <v>4491</v>
      </c>
    </row>
    <row r="220" spans="1:7" ht="11.25" customHeight="1">
      <c r="A220" t="s">
        <v>14</v>
      </c>
      <c r="B220" t="s">
        <v>4480</v>
      </c>
      <c r="C220" t="s">
        <v>4481</v>
      </c>
      <c r="D220" t="s">
        <v>4492</v>
      </c>
      <c r="E220" t="s">
        <v>4493</v>
      </c>
      <c r="F220" t="s">
        <v>3906</v>
      </c>
      <c r="G220" t="s">
        <v>4494</v>
      </c>
    </row>
    <row r="221" spans="1:7" ht="11.25" customHeight="1">
      <c r="A221" t="s">
        <v>14</v>
      </c>
      <c r="B221" t="s">
        <v>4480</v>
      </c>
      <c r="C221" t="s">
        <v>4481</v>
      </c>
      <c r="D221" t="s">
        <v>4495</v>
      </c>
      <c r="E221" t="s">
        <v>4496</v>
      </c>
      <c r="F221" t="s">
        <v>3906</v>
      </c>
      <c r="G221" t="s">
        <v>4497</v>
      </c>
    </row>
    <row r="222" spans="1:7" ht="11.25" customHeight="1">
      <c r="A222" t="s">
        <v>14</v>
      </c>
      <c r="B222" t="s">
        <v>4480</v>
      </c>
      <c r="C222" t="s">
        <v>4481</v>
      </c>
      <c r="D222" t="s">
        <v>4498</v>
      </c>
      <c r="E222" t="s">
        <v>4499</v>
      </c>
      <c r="F222" t="s">
        <v>3906</v>
      </c>
      <c r="G222" t="s">
        <v>4500</v>
      </c>
    </row>
    <row r="223" spans="1:7" ht="11.25" customHeight="1">
      <c r="A223" t="s">
        <v>14</v>
      </c>
      <c r="B223" t="s">
        <v>4480</v>
      </c>
      <c r="C223" t="s">
        <v>4481</v>
      </c>
      <c r="D223" t="s">
        <v>4501</v>
      </c>
      <c r="E223" t="s">
        <v>4502</v>
      </c>
      <c r="F223" t="s">
        <v>3906</v>
      </c>
      <c r="G223" t="s">
        <v>4503</v>
      </c>
    </row>
    <row r="224" spans="1:7" ht="11.25" customHeight="1">
      <c r="A224" t="s">
        <v>14</v>
      </c>
      <c r="B224" t="s">
        <v>4480</v>
      </c>
      <c r="C224" t="s">
        <v>4481</v>
      </c>
      <c r="D224" t="s">
        <v>4504</v>
      </c>
      <c r="E224" t="s">
        <v>4505</v>
      </c>
      <c r="F224" t="s">
        <v>3906</v>
      </c>
      <c r="G224" t="s">
        <v>4506</v>
      </c>
    </row>
    <row r="225" spans="1:7" ht="11.25" customHeight="1">
      <c r="A225" t="s">
        <v>14</v>
      </c>
      <c r="B225" t="s">
        <v>4480</v>
      </c>
      <c r="C225" t="s">
        <v>4481</v>
      </c>
      <c r="D225" t="s">
        <v>4507</v>
      </c>
      <c r="E225" t="s">
        <v>4508</v>
      </c>
      <c r="F225" t="s">
        <v>3906</v>
      </c>
      <c r="G225" t="s">
        <v>4509</v>
      </c>
    </row>
    <row r="226" spans="1:7" ht="11.25" customHeight="1">
      <c r="A226" t="s">
        <v>14</v>
      </c>
      <c r="B226" t="s">
        <v>4480</v>
      </c>
      <c r="C226" t="s">
        <v>4481</v>
      </c>
      <c r="D226" t="s">
        <v>4510</v>
      </c>
      <c r="E226" t="s">
        <v>4511</v>
      </c>
      <c r="F226" t="s">
        <v>4512</v>
      </c>
      <c r="G226" t="s">
        <v>4513</v>
      </c>
    </row>
    <row r="227" spans="1:7" ht="11.25" customHeight="1">
      <c r="A227" t="s">
        <v>14</v>
      </c>
      <c r="B227" t="s">
        <v>4514</v>
      </c>
      <c r="C227" t="s">
        <v>4515</v>
      </c>
      <c r="D227" t="s">
        <v>4516</v>
      </c>
      <c r="E227" t="s">
        <v>4517</v>
      </c>
      <c r="F227" t="s">
        <v>3906</v>
      </c>
      <c r="G227" t="s">
        <v>4518</v>
      </c>
    </row>
    <row r="228" spans="1:7" ht="11.25" customHeight="1">
      <c r="A228" t="s">
        <v>14</v>
      </c>
      <c r="B228" t="s">
        <v>4514</v>
      </c>
      <c r="C228" t="s">
        <v>4515</v>
      </c>
      <c r="D228" t="s">
        <v>4519</v>
      </c>
      <c r="E228" t="s">
        <v>4520</v>
      </c>
      <c r="F228" t="s">
        <v>3906</v>
      </c>
      <c r="G228" t="s">
        <v>4521</v>
      </c>
    </row>
    <row r="229" spans="1:7" ht="11.25" customHeight="1">
      <c r="A229" t="s">
        <v>14</v>
      </c>
      <c r="B229" t="s">
        <v>4514</v>
      </c>
      <c r="C229" t="s">
        <v>4515</v>
      </c>
      <c r="D229" t="s">
        <v>4522</v>
      </c>
      <c r="E229" t="s">
        <v>4523</v>
      </c>
      <c r="F229" t="s">
        <v>3906</v>
      </c>
      <c r="G229" t="s">
        <v>4524</v>
      </c>
    </row>
    <row r="230" spans="1:7" ht="11.25" customHeight="1">
      <c r="A230" t="s">
        <v>14</v>
      </c>
      <c r="B230" t="s">
        <v>4514</v>
      </c>
      <c r="C230" t="s">
        <v>4515</v>
      </c>
      <c r="D230" t="s">
        <v>4394</v>
      </c>
      <c r="E230" t="s">
        <v>4525</v>
      </c>
      <c r="F230" t="s">
        <v>3906</v>
      </c>
      <c r="G230" t="s">
        <v>4526</v>
      </c>
    </row>
    <row r="231" spans="1:7" ht="11.25" customHeight="1">
      <c r="A231" t="s">
        <v>14</v>
      </c>
      <c r="B231" t="s">
        <v>4514</v>
      </c>
      <c r="C231" t="s">
        <v>4515</v>
      </c>
      <c r="D231" t="s">
        <v>4527</v>
      </c>
      <c r="E231" t="s">
        <v>4528</v>
      </c>
      <c r="F231" t="s">
        <v>3906</v>
      </c>
      <c r="G231" t="s">
        <v>4529</v>
      </c>
    </row>
    <row r="232" spans="1:7" ht="11.25" customHeight="1">
      <c r="A232" t="s">
        <v>14</v>
      </c>
      <c r="B232" t="s">
        <v>4514</v>
      </c>
      <c r="C232" t="s">
        <v>4515</v>
      </c>
      <c r="D232" t="s">
        <v>4514</v>
      </c>
      <c r="E232" t="s">
        <v>4515</v>
      </c>
      <c r="F232" t="s">
        <v>3903</v>
      </c>
      <c r="G232" t="s">
        <v>4530</v>
      </c>
    </row>
    <row r="233" spans="1:7" ht="11.25" customHeight="1">
      <c r="A233" t="s">
        <v>14</v>
      </c>
      <c r="B233" t="s">
        <v>4514</v>
      </c>
      <c r="C233" t="s">
        <v>4515</v>
      </c>
      <c r="D233" t="s">
        <v>4531</v>
      </c>
      <c r="E233" t="s">
        <v>4532</v>
      </c>
      <c r="F233" t="s">
        <v>3906</v>
      </c>
      <c r="G233" t="s">
        <v>4533</v>
      </c>
    </row>
    <row r="234" spans="1:7" ht="11.25" customHeight="1">
      <c r="A234" t="s">
        <v>14</v>
      </c>
      <c r="B234" t="s">
        <v>4514</v>
      </c>
      <c r="C234" t="s">
        <v>4515</v>
      </c>
      <c r="D234" t="s">
        <v>4534</v>
      </c>
      <c r="E234" t="s">
        <v>4535</v>
      </c>
      <c r="F234" t="s">
        <v>3906</v>
      </c>
      <c r="G234" t="s">
        <v>4536</v>
      </c>
    </row>
    <row r="235" spans="1:7" ht="11.25" customHeight="1">
      <c r="A235" t="s">
        <v>14</v>
      </c>
      <c r="B235" t="s">
        <v>4514</v>
      </c>
      <c r="C235" t="s">
        <v>4515</v>
      </c>
      <c r="D235" t="s">
        <v>4537</v>
      </c>
      <c r="E235" t="s">
        <v>4538</v>
      </c>
      <c r="F235" t="s">
        <v>3906</v>
      </c>
      <c r="G235" t="s">
        <v>4539</v>
      </c>
    </row>
    <row r="236" spans="1:7" ht="11.25" customHeight="1">
      <c r="A236" t="s">
        <v>14</v>
      </c>
      <c r="B236" t="s">
        <v>4514</v>
      </c>
      <c r="C236" t="s">
        <v>4515</v>
      </c>
      <c r="D236" t="s">
        <v>3921</v>
      </c>
      <c r="E236" t="s">
        <v>4540</v>
      </c>
      <c r="F236" t="s">
        <v>3906</v>
      </c>
      <c r="G236" t="s">
        <v>4541</v>
      </c>
    </row>
    <row r="237" spans="1:7" ht="11.25" customHeight="1">
      <c r="A237" t="s">
        <v>14</v>
      </c>
      <c r="B237" t="s">
        <v>4514</v>
      </c>
      <c r="C237" t="s">
        <v>4515</v>
      </c>
      <c r="D237" t="s">
        <v>4542</v>
      </c>
      <c r="E237" t="s">
        <v>4543</v>
      </c>
      <c r="F237" t="s">
        <v>3906</v>
      </c>
      <c r="G237" t="s">
        <v>4544</v>
      </c>
    </row>
    <row r="238" spans="1:7" ht="11.25" customHeight="1">
      <c r="A238" t="s">
        <v>14</v>
      </c>
      <c r="B238" t="s">
        <v>4514</v>
      </c>
      <c r="C238" t="s">
        <v>4515</v>
      </c>
      <c r="D238" t="s">
        <v>4545</v>
      </c>
      <c r="E238" t="s">
        <v>4546</v>
      </c>
      <c r="F238" t="s">
        <v>3906</v>
      </c>
      <c r="G238" t="s">
        <v>4547</v>
      </c>
    </row>
    <row r="239" spans="1:7" ht="11.25" customHeight="1">
      <c r="A239" t="s">
        <v>14</v>
      </c>
      <c r="B239" t="s">
        <v>4514</v>
      </c>
      <c r="C239" t="s">
        <v>4515</v>
      </c>
      <c r="D239" t="s">
        <v>4271</v>
      </c>
      <c r="E239" t="s">
        <v>4548</v>
      </c>
      <c r="F239" t="s">
        <v>3906</v>
      </c>
      <c r="G239" t="s">
        <v>4549</v>
      </c>
    </row>
    <row r="240" spans="1:7" ht="11.25" customHeight="1">
      <c r="A240" t="s">
        <v>14</v>
      </c>
      <c r="B240" t="s">
        <v>4514</v>
      </c>
      <c r="C240" t="s">
        <v>4515</v>
      </c>
      <c r="D240" t="s">
        <v>4550</v>
      </c>
      <c r="E240" t="s">
        <v>4551</v>
      </c>
      <c r="F240" t="s">
        <v>3906</v>
      </c>
      <c r="G240" t="s">
        <v>4552</v>
      </c>
    </row>
    <row r="241" spans="1:7" ht="11.25" customHeight="1">
      <c r="A241" t="s">
        <v>14</v>
      </c>
      <c r="B241" t="s">
        <v>4514</v>
      </c>
      <c r="C241" t="s">
        <v>4515</v>
      </c>
      <c r="D241" t="s">
        <v>4553</v>
      </c>
      <c r="E241" t="s">
        <v>4554</v>
      </c>
      <c r="F241" t="s">
        <v>3906</v>
      </c>
      <c r="G241" t="s">
        <v>4555</v>
      </c>
    </row>
    <row r="242" spans="1:7" ht="11.25" customHeight="1">
      <c r="A242" t="s">
        <v>14</v>
      </c>
      <c r="B242" t="s">
        <v>4514</v>
      </c>
      <c r="C242" t="s">
        <v>4515</v>
      </c>
      <c r="D242" t="s">
        <v>4556</v>
      </c>
      <c r="E242" t="s">
        <v>4557</v>
      </c>
      <c r="F242" t="s">
        <v>3906</v>
      </c>
      <c r="G242" t="s">
        <v>4558</v>
      </c>
    </row>
    <row r="243" spans="1:7" ht="11.25" customHeight="1">
      <c r="A243" t="s">
        <v>14</v>
      </c>
      <c r="B243" t="s">
        <v>4514</v>
      </c>
      <c r="C243" t="s">
        <v>4515</v>
      </c>
      <c r="D243" t="s">
        <v>4559</v>
      </c>
      <c r="E243" t="s">
        <v>4560</v>
      </c>
      <c r="F243" t="s">
        <v>3906</v>
      </c>
      <c r="G243" t="s">
        <v>4561</v>
      </c>
    </row>
    <row r="244" spans="1:7" ht="11.25" customHeight="1">
      <c r="A244" t="s">
        <v>14</v>
      </c>
      <c r="B244" t="s">
        <v>4514</v>
      </c>
      <c r="C244" t="s">
        <v>4515</v>
      </c>
      <c r="D244" t="s">
        <v>4562</v>
      </c>
      <c r="E244" t="s">
        <v>4563</v>
      </c>
      <c r="F244" t="s">
        <v>3906</v>
      </c>
      <c r="G244" t="s">
        <v>4564</v>
      </c>
    </row>
    <row r="245" spans="1:7" ht="11.25" customHeight="1">
      <c r="A245" t="s">
        <v>14</v>
      </c>
      <c r="B245" t="s">
        <v>4514</v>
      </c>
      <c r="C245" t="s">
        <v>4515</v>
      </c>
      <c r="D245" t="s">
        <v>4565</v>
      </c>
      <c r="E245" t="s">
        <v>4566</v>
      </c>
      <c r="F245" t="s">
        <v>3906</v>
      </c>
      <c r="G245" t="s">
        <v>4567</v>
      </c>
    </row>
    <row r="246" spans="1:7" ht="11.25" customHeight="1">
      <c r="A246" t="s">
        <v>14</v>
      </c>
      <c r="B246" t="s">
        <v>4568</v>
      </c>
      <c r="C246" t="s">
        <v>4569</v>
      </c>
      <c r="D246" t="s">
        <v>4516</v>
      </c>
      <c r="E246" t="s">
        <v>4570</v>
      </c>
      <c r="F246" t="s">
        <v>3906</v>
      </c>
      <c r="G246" t="s">
        <v>4571</v>
      </c>
    </row>
    <row r="247" spans="1:7" ht="11.25" customHeight="1">
      <c r="A247" t="s">
        <v>14</v>
      </c>
      <c r="B247" t="s">
        <v>4568</v>
      </c>
      <c r="C247" t="s">
        <v>4569</v>
      </c>
      <c r="D247" t="s">
        <v>4572</v>
      </c>
      <c r="E247" t="s">
        <v>4573</v>
      </c>
      <c r="F247" t="s">
        <v>3906</v>
      </c>
      <c r="G247" t="s">
        <v>4574</v>
      </c>
    </row>
    <row r="248" spans="1:7" ht="11.25" customHeight="1">
      <c r="A248" t="s">
        <v>14</v>
      </c>
      <c r="B248" t="s">
        <v>4568</v>
      </c>
      <c r="C248" t="s">
        <v>4569</v>
      </c>
      <c r="D248" t="s">
        <v>4575</v>
      </c>
      <c r="E248" t="s">
        <v>4576</v>
      </c>
      <c r="F248" t="s">
        <v>3906</v>
      </c>
      <c r="G248" t="s">
        <v>4577</v>
      </c>
    </row>
    <row r="249" spans="1:7" ht="11.25" customHeight="1">
      <c r="A249" t="s">
        <v>14</v>
      </c>
      <c r="B249" t="s">
        <v>4568</v>
      </c>
      <c r="C249" t="s">
        <v>4569</v>
      </c>
      <c r="D249" t="s">
        <v>4578</v>
      </c>
      <c r="E249" t="s">
        <v>4579</v>
      </c>
      <c r="F249" t="s">
        <v>3906</v>
      </c>
      <c r="G249" t="s">
        <v>4580</v>
      </c>
    </row>
    <row r="250" spans="1:7" ht="11.25" customHeight="1">
      <c r="A250" t="s">
        <v>14</v>
      </c>
      <c r="B250" t="s">
        <v>4568</v>
      </c>
      <c r="C250" t="s">
        <v>4569</v>
      </c>
      <c r="D250" t="s">
        <v>4581</v>
      </c>
      <c r="E250" t="s">
        <v>4582</v>
      </c>
      <c r="F250" t="s">
        <v>3906</v>
      </c>
      <c r="G250" t="s">
        <v>4583</v>
      </c>
    </row>
    <row r="251" spans="1:7" ht="11.25" customHeight="1">
      <c r="A251" t="s">
        <v>14</v>
      </c>
      <c r="B251" t="s">
        <v>4568</v>
      </c>
      <c r="C251" t="s">
        <v>4569</v>
      </c>
      <c r="D251" t="s">
        <v>4568</v>
      </c>
      <c r="E251" t="s">
        <v>4569</v>
      </c>
      <c r="F251" t="s">
        <v>3903</v>
      </c>
      <c r="G251" t="s">
        <v>4584</v>
      </c>
    </row>
    <row r="252" spans="1:7" ht="11.25" customHeight="1">
      <c r="A252" t="s">
        <v>14</v>
      </c>
      <c r="B252" t="s">
        <v>4568</v>
      </c>
      <c r="C252" t="s">
        <v>4569</v>
      </c>
      <c r="D252" t="s">
        <v>4585</v>
      </c>
      <c r="E252" t="s">
        <v>4586</v>
      </c>
      <c r="F252" t="s">
        <v>3906</v>
      </c>
      <c r="G252" t="s">
        <v>4587</v>
      </c>
    </row>
    <row r="253" spans="1:7" ht="11.25" customHeight="1">
      <c r="A253" t="s">
        <v>14</v>
      </c>
      <c r="B253" t="s">
        <v>4568</v>
      </c>
      <c r="C253" t="s">
        <v>4569</v>
      </c>
      <c r="D253" t="s">
        <v>4588</v>
      </c>
      <c r="E253" t="s">
        <v>4589</v>
      </c>
      <c r="F253" t="s">
        <v>3906</v>
      </c>
      <c r="G253" t="s">
        <v>4590</v>
      </c>
    </row>
    <row r="254" spans="1:7" ht="11.25" customHeight="1">
      <c r="A254" t="s">
        <v>14</v>
      </c>
      <c r="B254" t="s">
        <v>4568</v>
      </c>
      <c r="C254" t="s">
        <v>4569</v>
      </c>
      <c r="D254" t="s">
        <v>4591</v>
      </c>
      <c r="E254" t="s">
        <v>4592</v>
      </c>
      <c r="F254" t="s">
        <v>3906</v>
      </c>
      <c r="G254" t="s">
        <v>4593</v>
      </c>
    </row>
    <row r="255" spans="1:7" ht="11.25" customHeight="1">
      <c r="A255" t="s">
        <v>14</v>
      </c>
      <c r="B255" t="s">
        <v>4568</v>
      </c>
      <c r="C255" t="s">
        <v>4569</v>
      </c>
      <c r="D255" t="s">
        <v>4594</v>
      </c>
      <c r="E255" t="s">
        <v>4595</v>
      </c>
      <c r="F255" t="s">
        <v>3906</v>
      </c>
      <c r="G255" t="s">
        <v>4596</v>
      </c>
    </row>
    <row r="256" spans="1:7" ht="11.25" customHeight="1">
      <c r="A256" t="s">
        <v>14</v>
      </c>
      <c r="B256" t="s">
        <v>4568</v>
      </c>
      <c r="C256" t="s">
        <v>4569</v>
      </c>
      <c r="D256" t="s">
        <v>4468</v>
      </c>
      <c r="E256" t="s">
        <v>4597</v>
      </c>
      <c r="F256" t="s">
        <v>3906</v>
      </c>
      <c r="G256" t="s">
        <v>4598</v>
      </c>
    </row>
    <row r="257" spans="1:7" ht="11.25" customHeight="1">
      <c r="A257" t="s">
        <v>14</v>
      </c>
      <c r="B257" t="s">
        <v>4568</v>
      </c>
      <c r="C257" t="s">
        <v>4569</v>
      </c>
      <c r="D257" t="s">
        <v>4599</v>
      </c>
      <c r="E257" t="s">
        <v>4600</v>
      </c>
      <c r="F257" t="s">
        <v>3906</v>
      </c>
      <c r="G257" t="s">
        <v>4601</v>
      </c>
    </row>
    <row r="258" spans="1:7" ht="11.25" customHeight="1">
      <c r="A258" t="s">
        <v>14</v>
      </c>
      <c r="B258" t="s">
        <v>4568</v>
      </c>
      <c r="C258" t="s">
        <v>4569</v>
      </c>
      <c r="D258" t="s">
        <v>4602</v>
      </c>
      <c r="E258" t="s">
        <v>4603</v>
      </c>
      <c r="F258" t="s">
        <v>3906</v>
      </c>
      <c r="G258" t="s">
        <v>4604</v>
      </c>
    </row>
    <row r="259" spans="1:7" ht="11.25" customHeight="1">
      <c r="A259" t="s">
        <v>14</v>
      </c>
      <c r="B259" t="s">
        <v>4568</v>
      </c>
      <c r="C259" t="s">
        <v>4569</v>
      </c>
      <c r="D259" t="s">
        <v>4605</v>
      </c>
      <c r="E259" t="s">
        <v>4606</v>
      </c>
      <c r="F259" t="s">
        <v>3906</v>
      </c>
      <c r="G259" t="s">
        <v>4607</v>
      </c>
    </row>
    <row r="260" spans="1:7" ht="11.25" customHeight="1">
      <c r="A260" t="s">
        <v>14</v>
      </c>
      <c r="B260" t="s">
        <v>4568</v>
      </c>
      <c r="C260" t="s">
        <v>4569</v>
      </c>
      <c r="D260" t="s">
        <v>4608</v>
      </c>
      <c r="E260" t="s">
        <v>4609</v>
      </c>
      <c r="F260" t="s">
        <v>3906</v>
      </c>
      <c r="G260" t="s">
        <v>4610</v>
      </c>
    </row>
    <row r="261" spans="1:7" ht="11.25" customHeight="1">
      <c r="A261" t="s">
        <v>14</v>
      </c>
      <c r="B261" t="s">
        <v>4611</v>
      </c>
      <c r="C261" t="s">
        <v>4612</v>
      </c>
      <c r="D261" t="s">
        <v>4613</v>
      </c>
      <c r="E261" t="s">
        <v>4614</v>
      </c>
      <c r="F261" t="s">
        <v>3906</v>
      </c>
      <c r="G261" t="s">
        <v>4615</v>
      </c>
    </row>
    <row r="262" spans="1:7" ht="11.25" customHeight="1">
      <c r="A262" t="s">
        <v>14</v>
      </c>
      <c r="B262" t="s">
        <v>4611</v>
      </c>
      <c r="C262" t="s">
        <v>4612</v>
      </c>
      <c r="D262" t="s">
        <v>4616</v>
      </c>
      <c r="E262" t="s">
        <v>4617</v>
      </c>
      <c r="F262" t="s">
        <v>3906</v>
      </c>
      <c r="G262" t="s">
        <v>4618</v>
      </c>
    </row>
    <row r="263" spans="1:7" ht="11.25" customHeight="1">
      <c r="A263" t="s">
        <v>14</v>
      </c>
      <c r="B263" t="s">
        <v>4611</v>
      </c>
      <c r="C263" t="s">
        <v>4612</v>
      </c>
      <c r="D263" t="s">
        <v>4619</v>
      </c>
      <c r="E263" t="s">
        <v>4620</v>
      </c>
      <c r="F263" t="s">
        <v>3906</v>
      </c>
      <c r="G263" t="s">
        <v>4621</v>
      </c>
    </row>
    <row r="264" spans="1:7" ht="11.25" customHeight="1">
      <c r="A264" t="s">
        <v>14</v>
      </c>
      <c r="B264" t="s">
        <v>4611</v>
      </c>
      <c r="C264" t="s">
        <v>4612</v>
      </c>
      <c r="D264" t="s">
        <v>4622</v>
      </c>
      <c r="E264" t="s">
        <v>4623</v>
      </c>
      <c r="F264" t="s">
        <v>3906</v>
      </c>
      <c r="G264" t="s">
        <v>4624</v>
      </c>
    </row>
    <row r="265" spans="1:7" ht="11.25" customHeight="1">
      <c r="A265" t="s">
        <v>14</v>
      </c>
      <c r="B265" t="s">
        <v>4611</v>
      </c>
      <c r="C265" t="s">
        <v>4612</v>
      </c>
      <c r="D265" t="s">
        <v>4625</v>
      </c>
      <c r="E265" t="s">
        <v>4626</v>
      </c>
      <c r="F265" t="s">
        <v>3906</v>
      </c>
      <c r="G265" t="s">
        <v>4627</v>
      </c>
    </row>
    <row r="266" spans="1:7" ht="11.25" customHeight="1">
      <c r="A266" t="s">
        <v>14</v>
      </c>
      <c r="B266" t="s">
        <v>4611</v>
      </c>
      <c r="C266" t="s">
        <v>4612</v>
      </c>
      <c r="D266" t="s">
        <v>4628</v>
      </c>
      <c r="E266" t="s">
        <v>4629</v>
      </c>
      <c r="F266" t="s">
        <v>3906</v>
      </c>
      <c r="G266" t="s">
        <v>4630</v>
      </c>
    </row>
    <row r="267" spans="1:7" ht="11.25" customHeight="1">
      <c r="A267" t="s">
        <v>14</v>
      </c>
      <c r="B267" t="s">
        <v>4611</v>
      </c>
      <c r="C267" t="s">
        <v>4612</v>
      </c>
      <c r="D267" t="s">
        <v>4631</v>
      </c>
      <c r="E267" t="s">
        <v>4632</v>
      </c>
      <c r="F267" t="s">
        <v>3906</v>
      </c>
      <c r="G267" t="s">
        <v>4633</v>
      </c>
    </row>
    <row r="268" spans="1:7" ht="11.25" customHeight="1">
      <c r="A268" t="s">
        <v>14</v>
      </c>
      <c r="B268" t="s">
        <v>4611</v>
      </c>
      <c r="C268" t="s">
        <v>4612</v>
      </c>
      <c r="D268" t="s">
        <v>4611</v>
      </c>
      <c r="E268" t="s">
        <v>4612</v>
      </c>
      <c r="F268" t="s">
        <v>3903</v>
      </c>
      <c r="G268" t="s">
        <v>4634</v>
      </c>
    </row>
    <row r="269" spans="1:7" ht="11.25" customHeight="1">
      <c r="A269" t="s">
        <v>14</v>
      </c>
      <c r="B269" t="s">
        <v>4611</v>
      </c>
      <c r="C269" t="s">
        <v>4612</v>
      </c>
      <c r="D269" t="s">
        <v>4635</v>
      </c>
      <c r="E269" t="s">
        <v>4636</v>
      </c>
      <c r="F269" t="s">
        <v>3906</v>
      </c>
      <c r="G269" t="s">
        <v>4637</v>
      </c>
    </row>
    <row r="270" spans="1:7" ht="11.25" customHeight="1">
      <c r="A270" t="s">
        <v>14</v>
      </c>
      <c r="B270" t="s">
        <v>4611</v>
      </c>
      <c r="C270" t="s">
        <v>4612</v>
      </c>
      <c r="D270" t="s">
        <v>4638</v>
      </c>
      <c r="E270" t="s">
        <v>4639</v>
      </c>
      <c r="F270" t="s">
        <v>3906</v>
      </c>
      <c r="G270" t="s">
        <v>4640</v>
      </c>
    </row>
    <row r="271" spans="1:7" ht="11.25" customHeight="1">
      <c r="A271" t="s">
        <v>14</v>
      </c>
      <c r="B271" t="s">
        <v>4611</v>
      </c>
      <c r="C271" t="s">
        <v>4612</v>
      </c>
      <c r="D271" t="s">
        <v>4641</v>
      </c>
      <c r="E271" t="s">
        <v>4642</v>
      </c>
      <c r="F271" t="s">
        <v>3906</v>
      </c>
      <c r="G271" t="s">
        <v>4643</v>
      </c>
    </row>
    <row r="272" spans="1:7" ht="11.25" customHeight="1">
      <c r="A272" t="s">
        <v>14</v>
      </c>
      <c r="B272" t="s">
        <v>4611</v>
      </c>
      <c r="C272" t="s">
        <v>4612</v>
      </c>
      <c r="D272" t="s">
        <v>4644</v>
      </c>
      <c r="E272" t="s">
        <v>4645</v>
      </c>
      <c r="F272" t="s">
        <v>3906</v>
      </c>
      <c r="G272" t="s">
        <v>4646</v>
      </c>
    </row>
    <row r="273" spans="1:7" ht="11.25" customHeight="1">
      <c r="A273" t="s">
        <v>14</v>
      </c>
      <c r="B273" t="s">
        <v>4611</v>
      </c>
      <c r="C273" t="s">
        <v>4612</v>
      </c>
      <c r="D273" t="s">
        <v>4647</v>
      </c>
      <c r="E273" t="s">
        <v>4648</v>
      </c>
      <c r="F273" t="s">
        <v>3906</v>
      </c>
      <c r="G273" t="s">
        <v>4649</v>
      </c>
    </row>
    <row r="274" spans="1:7" ht="11.25" customHeight="1">
      <c r="A274" t="s">
        <v>14</v>
      </c>
      <c r="B274" t="s">
        <v>4611</v>
      </c>
      <c r="C274" t="s">
        <v>4612</v>
      </c>
      <c r="D274" t="s">
        <v>4650</v>
      </c>
      <c r="E274" t="s">
        <v>4651</v>
      </c>
      <c r="F274" t="s">
        <v>3906</v>
      </c>
      <c r="G274" t="s">
        <v>4652</v>
      </c>
    </row>
    <row r="275" spans="1:7" ht="11.25" customHeight="1">
      <c r="A275" t="s">
        <v>14</v>
      </c>
      <c r="B275" t="s">
        <v>4611</v>
      </c>
      <c r="C275" t="s">
        <v>4612</v>
      </c>
      <c r="D275" t="s">
        <v>4653</v>
      </c>
      <c r="E275" t="s">
        <v>4654</v>
      </c>
      <c r="F275" t="s">
        <v>3906</v>
      </c>
      <c r="G275" t="s">
        <v>4655</v>
      </c>
    </row>
    <row r="276" spans="1:7" ht="11.25" customHeight="1">
      <c r="A276" t="s">
        <v>14</v>
      </c>
      <c r="B276" t="s">
        <v>4611</v>
      </c>
      <c r="C276" t="s">
        <v>4612</v>
      </c>
      <c r="D276" t="s">
        <v>4656</v>
      </c>
      <c r="E276" t="s">
        <v>4657</v>
      </c>
      <c r="F276" t="s">
        <v>3906</v>
      </c>
      <c r="G276" t="s">
        <v>4658</v>
      </c>
    </row>
    <row r="277" spans="1:7" ht="11.25" customHeight="1">
      <c r="A277" t="s">
        <v>14</v>
      </c>
      <c r="B277" t="s">
        <v>4659</v>
      </c>
      <c r="C277" t="s">
        <v>4660</v>
      </c>
      <c r="D277" t="s">
        <v>4661</v>
      </c>
      <c r="E277" t="s">
        <v>4662</v>
      </c>
      <c r="F277" t="s">
        <v>3906</v>
      </c>
      <c r="G277" t="s">
        <v>4663</v>
      </c>
    </row>
    <row r="278" spans="1:7" ht="11.25" customHeight="1">
      <c r="A278" t="s">
        <v>14</v>
      </c>
      <c r="B278" t="s">
        <v>4659</v>
      </c>
      <c r="C278" t="s">
        <v>4660</v>
      </c>
      <c r="D278" t="s">
        <v>4664</v>
      </c>
      <c r="E278" t="s">
        <v>4665</v>
      </c>
      <c r="F278" t="s">
        <v>3906</v>
      </c>
      <c r="G278" t="s">
        <v>4666</v>
      </c>
    </row>
    <row r="279" spans="1:7" ht="11.25" customHeight="1">
      <c r="A279" t="s">
        <v>14</v>
      </c>
      <c r="B279" t="s">
        <v>4659</v>
      </c>
      <c r="C279" t="s">
        <v>4660</v>
      </c>
      <c r="D279" t="s">
        <v>4659</v>
      </c>
      <c r="E279" t="s">
        <v>4660</v>
      </c>
      <c r="F279" t="s">
        <v>3903</v>
      </c>
      <c r="G279" t="s">
        <v>4667</v>
      </c>
    </row>
    <row r="280" spans="1:7" ht="11.25" customHeight="1">
      <c r="A280" t="s">
        <v>14</v>
      </c>
      <c r="B280" t="s">
        <v>4659</v>
      </c>
      <c r="C280" t="s">
        <v>4660</v>
      </c>
      <c r="D280" t="s">
        <v>4668</v>
      </c>
      <c r="E280" t="s">
        <v>4669</v>
      </c>
      <c r="F280" t="s">
        <v>3906</v>
      </c>
      <c r="G280" t="s">
        <v>4670</v>
      </c>
    </row>
    <row r="281" spans="1:7" ht="11.25" customHeight="1">
      <c r="A281" t="s">
        <v>14</v>
      </c>
      <c r="B281" t="s">
        <v>4659</v>
      </c>
      <c r="C281" t="s">
        <v>4660</v>
      </c>
      <c r="D281" t="s">
        <v>4671</v>
      </c>
      <c r="E281" t="s">
        <v>4672</v>
      </c>
      <c r="F281" t="s">
        <v>3906</v>
      </c>
      <c r="G281" t="s">
        <v>4673</v>
      </c>
    </row>
    <row r="282" spans="1:7" ht="11.25" customHeight="1">
      <c r="A282" t="s">
        <v>14</v>
      </c>
      <c r="B282" t="s">
        <v>4659</v>
      </c>
      <c r="C282" t="s">
        <v>4660</v>
      </c>
      <c r="D282" t="s">
        <v>4674</v>
      </c>
      <c r="E282" t="s">
        <v>4675</v>
      </c>
      <c r="F282" t="s">
        <v>3906</v>
      </c>
      <c r="G282" t="s">
        <v>4676</v>
      </c>
    </row>
    <row r="283" spans="1:7" ht="11.25" customHeight="1">
      <c r="A283" t="s">
        <v>14</v>
      </c>
      <c r="B283" t="s">
        <v>4659</v>
      </c>
      <c r="C283" t="s">
        <v>4660</v>
      </c>
      <c r="D283" t="s">
        <v>4677</v>
      </c>
      <c r="E283" t="s">
        <v>4678</v>
      </c>
      <c r="F283" t="s">
        <v>3906</v>
      </c>
      <c r="G283" t="s">
        <v>4679</v>
      </c>
    </row>
    <row r="284" spans="1:7" ht="11.25" customHeight="1">
      <c r="A284" t="s">
        <v>14</v>
      </c>
      <c r="B284" t="s">
        <v>4659</v>
      </c>
      <c r="C284" t="s">
        <v>4660</v>
      </c>
      <c r="D284" t="s">
        <v>4680</v>
      </c>
      <c r="E284" t="s">
        <v>4681</v>
      </c>
      <c r="F284" t="s">
        <v>3906</v>
      </c>
      <c r="G284" t="s">
        <v>4682</v>
      </c>
    </row>
    <row r="285" spans="1:7" ht="11.25" customHeight="1">
      <c r="A285" t="s">
        <v>14</v>
      </c>
      <c r="B285" t="s">
        <v>4659</v>
      </c>
      <c r="C285" t="s">
        <v>4660</v>
      </c>
      <c r="D285" t="s">
        <v>4683</v>
      </c>
      <c r="E285" t="s">
        <v>4684</v>
      </c>
      <c r="F285" t="s">
        <v>3906</v>
      </c>
      <c r="G285" t="s">
        <v>4685</v>
      </c>
    </row>
    <row r="286" spans="1:7" ht="11.25" customHeight="1">
      <c r="A286" t="s">
        <v>14</v>
      </c>
      <c r="B286" t="s">
        <v>4659</v>
      </c>
      <c r="C286" t="s">
        <v>4660</v>
      </c>
      <c r="D286" t="s">
        <v>4686</v>
      </c>
      <c r="E286" t="s">
        <v>4687</v>
      </c>
      <c r="F286" t="s">
        <v>3906</v>
      </c>
      <c r="G286" t="s">
        <v>4688</v>
      </c>
    </row>
    <row r="287" spans="1:7" ht="11.25" customHeight="1">
      <c r="A287" t="s">
        <v>14</v>
      </c>
      <c r="B287" t="s">
        <v>4659</v>
      </c>
      <c r="C287" t="s">
        <v>4660</v>
      </c>
      <c r="D287" t="s">
        <v>4689</v>
      </c>
      <c r="E287" t="s">
        <v>4690</v>
      </c>
      <c r="F287" t="s">
        <v>3906</v>
      </c>
      <c r="G287" t="s">
        <v>4691</v>
      </c>
    </row>
    <row r="288" spans="1:7" ht="11.25" customHeight="1">
      <c r="A288" t="s">
        <v>14</v>
      </c>
      <c r="B288" t="s">
        <v>4659</v>
      </c>
      <c r="C288" t="s">
        <v>4660</v>
      </c>
      <c r="D288" t="s">
        <v>4692</v>
      </c>
      <c r="E288" t="s">
        <v>4693</v>
      </c>
      <c r="F288" t="s">
        <v>3906</v>
      </c>
      <c r="G288" t="s">
        <v>4694</v>
      </c>
    </row>
    <row r="289" spans="1:7" ht="11.25" customHeight="1">
      <c r="A289" t="s">
        <v>14</v>
      </c>
      <c r="B289" t="s">
        <v>4659</v>
      </c>
      <c r="C289" t="s">
        <v>4660</v>
      </c>
      <c r="D289" t="s">
        <v>4695</v>
      </c>
      <c r="E289" t="s">
        <v>4696</v>
      </c>
      <c r="F289" t="s">
        <v>3906</v>
      </c>
      <c r="G289" t="s">
        <v>4697</v>
      </c>
    </row>
    <row r="290" spans="1:7" ht="11.25" customHeight="1">
      <c r="A290" t="s">
        <v>14</v>
      </c>
      <c r="B290" t="s">
        <v>4659</v>
      </c>
      <c r="C290" t="s">
        <v>4660</v>
      </c>
      <c r="D290" t="s">
        <v>4698</v>
      </c>
      <c r="E290" t="s">
        <v>4699</v>
      </c>
      <c r="F290" t="s">
        <v>3906</v>
      </c>
      <c r="G290" t="s">
        <v>4700</v>
      </c>
    </row>
    <row r="291" spans="1:7" ht="11.25" customHeight="1">
      <c r="A291" t="s">
        <v>14</v>
      </c>
      <c r="B291" t="s">
        <v>4659</v>
      </c>
      <c r="C291" t="s">
        <v>4660</v>
      </c>
      <c r="D291" t="s">
        <v>4701</v>
      </c>
      <c r="E291" t="s">
        <v>4702</v>
      </c>
      <c r="F291" t="s">
        <v>3906</v>
      </c>
      <c r="G291" t="s">
        <v>4703</v>
      </c>
    </row>
    <row r="292" spans="1:7" ht="11.25" customHeight="1">
      <c r="A292" t="s">
        <v>14</v>
      </c>
      <c r="B292" t="s">
        <v>4704</v>
      </c>
      <c r="C292" t="s">
        <v>4705</v>
      </c>
      <c r="D292" t="s">
        <v>4706</v>
      </c>
      <c r="E292" t="s">
        <v>4707</v>
      </c>
      <c r="F292" t="s">
        <v>4512</v>
      </c>
      <c r="G292" t="s">
        <v>4708</v>
      </c>
    </row>
    <row r="293" spans="1:7" ht="11.25" customHeight="1">
      <c r="A293" t="s">
        <v>14</v>
      </c>
      <c r="B293" t="s">
        <v>4704</v>
      </c>
      <c r="C293" t="s">
        <v>4705</v>
      </c>
      <c r="D293" t="s">
        <v>4709</v>
      </c>
      <c r="E293" t="s">
        <v>4710</v>
      </c>
      <c r="F293" t="s">
        <v>3906</v>
      </c>
      <c r="G293" t="s">
        <v>4711</v>
      </c>
    </row>
    <row r="294" spans="1:7" ht="11.25" customHeight="1">
      <c r="A294" t="s">
        <v>14</v>
      </c>
      <c r="B294" t="s">
        <v>4704</v>
      </c>
      <c r="C294" t="s">
        <v>4705</v>
      </c>
      <c r="D294" t="s">
        <v>4712</v>
      </c>
      <c r="E294" t="s">
        <v>4713</v>
      </c>
      <c r="F294" t="s">
        <v>3906</v>
      </c>
      <c r="G294" t="s">
        <v>4714</v>
      </c>
    </row>
    <row r="295" spans="1:7" ht="11.25" customHeight="1">
      <c r="A295" t="s">
        <v>14</v>
      </c>
      <c r="B295" t="s">
        <v>4704</v>
      </c>
      <c r="C295" t="s">
        <v>4705</v>
      </c>
      <c r="D295" t="s">
        <v>4715</v>
      </c>
      <c r="E295" t="s">
        <v>4716</v>
      </c>
      <c r="F295" t="s">
        <v>3906</v>
      </c>
      <c r="G295" t="s">
        <v>4717</v>
      </c>
    </row>
    <row r="296" spans="1:7" ht="11.25" customHeight="1">
      <c r="A296" t="s">
        <v>14</v>
      </c>
      <c r="B296" t="s">
        <v>4704</v>
      </c>
      <c r="C296" t="s">
        <v>4705</v>
      </c>
      <c r="D296" t="s">
        <v>4718</v>
      </c>
      <c r="E296" t="s">
        <v>4719</v>
      </c>
      <c r="F296" t="s">
        <v>3906</v>
      </c>
      <c r="G296" t="s">
        <v>4720</v>
      </c>
    </row>
    <row r="297" spans="1:7" ht="11.25" customHeight="1">
      <c r="A297" t="s">
        <v>14</v>
      </c>
      <c r="B297" t="s">
        <v>4704</v>
      </c>
      <c r="C297" t="s">
        <v>4705</v>
      </c>
      <c r="D297" t="s">
        <v>4704</v>
      </c>
      <c r="E297" t="s">
        <v>4705</v>
      </c>
      <c r="F297" t="s">
        <v>3903</v>
      </c>
      <c r="G297" t="s">
        <v>4721</v>
      </c>
    </row>
    <row r="298" spans="1:7" ht="11.25" customHeight="1">
      <c r="A298" t="s">
        <v>14</v>
      </c>
      <c r="B298" t="s">
        <v>4704</v>
      </c>
      <c r="C298" t="s">
        <v>4705</v>
      </c>
      <c r="D298" t="s">
        <v>4722</v>
      </c>
      <c r="E298" t="s">
        <v>4723</v>
      </c>
      <c r="F298" t="s">
        <v>3906</v>
      </c>
      <c r="G298" t="s">
        <v>4724</v>
      </c>
    </row>
    <row r="299" spans="1:7" ht="11.25" customHeight="1">
      <c r="A299" t="s">
        <v>14</v>
      </c>
      <c r="B299" t="s">
        <v>4704</v>
      </c>
      <c r="C299" t="s">
        <v>4705</v>
      </c>
      <c r="D299" t="s">
        <v>4725</v>
      </c>
      <c r="E299" t="s">
        <v>4726</v>
      </c>
      <c r="F299" t="s">
        <v>4075</v>
      </c>
      <c r="G299" t="s">
        <v>4727</v>
      </c>
    </row>
    <row r="300" spans="1:7" ht="11.25" customHeight="1">
      <c r="A300" t="s">
        <v>14</v>
      </c>
      <c r="B300" t="s">
        <v>4704</v>
      </c>
      <c r="C300" t="s">
        <v>4705</v>
      </c>
      <c r="D300" t="s">
        <v>4728</v>
      </c>
      <c r="E300" t="s">
        <v>4729</v>
      </c>
      <c r="F300" t="s">
        <v>3906</v>
      </c>
      <c r="G300" t="s">
        <v>4730</v>
      </c>
    </row>
    <row r="301" spans="1:7" ht="11.25" customHeight="1">
      <c r="A301" t="s">
        <v>14</v>
      </c>
      <c r="B301" t="s">
        <v>4704</v>
      </c>
      <c r="C301" t="s">
        <v>4705</v>
      </c>
      <c r="D301" t="s">
        <v>4731</v>
      </c>
      <c r="E301" t="s">
        <v>4732</v>
      </c>
      <c r="F301" t="s">
        <v>3906</v>
      </c>
      <c r="G301" t="s">
        <v>4733</v>
      </c>
    </row>
    <row r="302" spans="1:7" ht="11.25" customHeight="1">
      <c r="A302" t="s">
        <v>14</v>
      </c>
      <c r="B302" t="s">
        <v>4704</v>
      </c>
      <c r="C302" t="s">
        <v>4705</v>
      </c>
      <c r="D302" t="s">
        <v>4734</v>
      </c>
      <c r="E302" t="s">
        <v>4735</v>
      </c>
      <c r="F302" t="s">
        <v>3906</v>
      </c>
      <c r="G302" t="s">
        <v>4736</v>
      </c>
    </row>
    <row r="303" spans="1:7" ht="11.25" customHeight="1">
      <c r="A303" t="s">
        <v>14</v>
      </c>
      <c r="B303" t="s">
        <v>4704</v>
      </c>
      <c r="C303" t="s">
        <v>4705</v>
      </c>
      <c r="D303" t="s">
        <v>4737</v>
      </c>
      <c r="E303" t="s">
        <v>4738</v>
      </c>
      <c r="F303" t="s">
        <v>3906</v>
      </c>
      <c r="G303" t="s">
        <v>4739</v>
      </c>
    </row>
    <row r="304" spans="1:7" ht="11.25" customHeight="1">
      <c r="A304" t="s">
        <v>14</v>
      </c>
      <c r="B304" t="s">
        <v>4704</v>
      </c>
      <c r="C304" t="s">
        <v>4705</v>
      </c>
      <c r="D304" t="s">
        <v>4740</v>
      </c>
      <c r="E304" t="s">
        <v>4741</v>
      </c>
      <c r="F304" t="s">
        <v>3906</v>
      </c>
      <c r="G304" t="s">
        <v>4742</v>
      </c>
    </row>
    <row r="305" spans="1:7" ht="11.25" customHeight="1">
      <c r="A305" t="s">
        <v>14</v>
      </c>
      <c r="B305" t="s">
        <v>4704</v>
      </c>
      <c r="C305" t="s">
        <v>4705</v>
      </c>
      <c r="D305" t="s">
        <v>4743</v>
      </c>
      <c r="E305" t="s">
        <v>4744</v>
      </c>
      <c r="F305" t="s">
        <v>3906</v>
      </c>
      <c r="G305" t="s">
        <v>4745</v>
      </c>
    </row>
    <row r="306" spans="1:7" ht="11.25" customHeight="1">
      <c r="A306" t="s">
        <v>14</v>
      </c>
      <c r="B306" t="s">
        <v>4704</v>
      </c>
      <c r="C306" t="s">
        <v>4705</v>
      </c>
      <c r="D306" t="s">
        <v>4746</v>
      </c>
      <c r="E306" t="s">
        <v>4747</v>
      </c>
      <c r="F306" t="s">
        <v>3906</v>
      </c>
      <c r="G306" t="s">
        <v>4748</v>
      </c>
    </row>
    <row r="307" spans="1:7" ht="11.25" customHeight="1">
      <c r="A307" t="s">
        <v>14</v>
      </c>
      <c r="B307" t="s">
        <v>4749</v>
      </c>
      <c r="C307" t="s">
        <v>4750</v>
      </c>
      <c r="D307" t="s">
        <v>4751</v>
      </c>
      <c r="E307" t="s">
        <v>4752</v>
      </c>
      <c r="F307" t="s">
        <v>3906</v>
      </c>
      <c r="G307" t="s">
        <v>4753</v>
      </c>
    </row>
    <row r="308" spans="1:7" ht="11.25" customHeight="1">
      <c r="A308" t="s">
        <v>14</v>
      </c>
      <c r="B308" t="s">
        <v>4749</v>
      </c>
      <c r="C308" t="s">
        <v>4750</v>
      </c>
      <c r="D308" t="s">
        <v>4754</v>
      </c>
      <c r="E308" t="s">
        <v>4755</v>
      </c>
      <c r="F308" t="s">
        <v>3906</v>
      </c>
      <c r="G308" t="s">
        <v>4756</v>
      </c>
    </row>
    <row r="309" spans="1:7" ht="11.25" customHeight="1">
      <c r="A309" t="s">
        <v>14</v>
      </c>
      <c r="B309" t="s">
        <v>4749</v>
      </c>
      <c r="C309" t="s">
        <v>4750</v>
      </c>
      <c r="D309" t="s">
        <v>4749</v>
      </c>
      <c r="E309" t="s">
        <v>4750</v>
      </c>
      <c r="F309" t="s">
        <v>3903</v>
      </c>
      <c r="G309" t="s">
        <v>4757</v>
      </c>
    </row>
    <row r="310" spans="1:7" ht="11.25" customHeight="1">
      <c r="A310" t="s">
        <v>14</v>
      </c>
      <c r="B310" t="s">
        <v>4749</v>
      </c>
      <c r="C310" t="s">
        <v>4750</v>
      </c>
      <c r="D310" t="s">
        <v>4758</v>
      </c>
      <c r="E310" t="s">
        <v>4759</v>
      </c>
      <c r="F310" t="s">
        <v>3906</v>
      </c>
      <c r="G310" t="s">
        <v>4760</v>
      </c>
    </row>
    <row r="311" spans="1:7" ht="11.25" customHeight="1">
      <c r="A311" t="s">
        <v>14</v>
      </c>
      <c r="B311" t="s">
        <v>4749</v>
      </c>
      <c r="C311" t="s">
        <v>4750</v>
      </c>
      <c r="D311" t="s">
        <v>4761</v>
      </c>
      <c r="E311" t="s">
        <v>4762</v>
      </c>
      <c r="F311" t="s">
        <v>3906</v>
      </c>
      <c r="G311" t="s">
        <v>4763</v>
      </c>
    </row>
    <row r="312" spans="1:7" ht="11.25" customHeight="1">
      <c r="A312" t="s">
        <v>14</v>
      </c>
      <c r="B312" t="s">
        <v>4749</v>
      </c>
      <c r="C312" t="s">
        <v>4750</v>
      </c>
      <c r="D312" t="s">
        <v>4764</v>
      </c>
      <c r="E312" t="s">
        <v>4765</v>
      </c>
      <c r="F312" t="s">
        <v>3984</v>
      </c>
      <c r="G312" t="s">
        <v>4766</v>
      </c>
    </row>
    <row r="313" spans="1:7" ht="11.25" customHeight="1">
      <c r="A313" t="s">
        <v>14</v>
      </c>
      <c r="B313" t="s">
        <v>4749</v>
      </c>
      <c r="C313" t="s">
        <v>4750</v>
      </c>
      <c r="D313" t="s">
        <v>4767</v>
      </c>
      <c r="E313" t="s">
        <v>4768</v>
      </c>
      <c r="F313" t="s">
        <v>3906</v>
      </c>
      <c r="G313" t="s">
        <v>4769</v>
      </c>
    </row>
    <row r="314" spans="1:7" ht="11.25" customHeight="1">
      <c r="A314" t="s">
        <v>14</v>
      </c>
      <c r="B314" t="s">
        <v>4749</v>
      </c>
      <c r="C314" t="s">
        <v>4750</v>
      </c>
      <c r="D314" t="s">
        <v>4770</v>
      </c>
      <c r="E314" t="s">
        <v>4771</v>
      </c>
      <c r="F314" t="s">
        <v>3984</v>
      </c>
      <c r="G314" t="s">
        <v>4772</v>
      </c>
    </row>
    <row r="315" spans="1:7" ht="11.25" customHeight="1">
      <c r="A315" t="s">
        <v>14</v>
      </c>
      <c r="B315" t="s">
        <v>4773</v>
      </c>
      <c r="C315" t="s">
        <v>4774</v>
      </c>
      <c r="D315" t="s">
        <v>4775</v>
      </c>
      <c r="E315" t="s">
        <v>4776</v>
      </c>
      <c r="F315" t="s">
        <v>3906</v>
      </c>
      <c r="G315" t="s">
        <v>4777</v>
      </c>
    </row>
    <row r="316" spans="1:7" ht="11.25" customHeight="1">
      <c r="A316" t="s">
        <v>14</v>
      </c>
      <c r="B316" t="s">
        <v>4773</v>
      </c>
      <c r="C316" t="s">
        <v>4774</v>
      </c>
      <c r="D316" t="s">
        <v>4778</v>
      </c>
      <c r="E316" t="s">
        <v>4779</v>
      </c>
      <c r="F316" t="s">
        <v>3906</v>
      </c>
      <c r="G316" t="s">
        <v>4780</v>
      </c>
    </row>
    <row r="317" spans="1:7" ht="11.25" customHeight="1">
      <c r="A317" t="s">
        <v>14</v>
      </c>
      <c r="B317" t="s">
        <v>4773</v>
      </c>
      <c r="C317" t="s">
        <v>4774</v>
      </c>
      <c r="D317" t="s">
        <v>4781</v>
      </c>
      <c r="E317" t="s">
        <v>4782</v>
      </c>
      <c r="F317" t="s">
        <v>3906</v>
      </c>
      <c r="G317" t="s">
        <v>4783</v>
      </c>
    </row>
    <row r="318" spans="1:7" ht="11.25" customHeight="1">
      <c r="A318" t="s">
        <v>14</v>
      </c>
      <c r="B318" t="s">
        <v>4773</v>
      </c>
      <c r="C318" t="s">
        <v>4774</v>
      </c>
      <c r="D318" t="s">
        <v>4773</v>
      </c>
      <c r="E318" t="s">
        <v>4774</v>
      </c>
      <c r="F318" t="s">
        <v>3903</v>
      </c>
      <c r="G318" t="s">
        <v>4784</v>
      </c>
    </row>
    <row r="319" spans="1:7" ht="11.25" customHeight="1">
      <c r="A319" t="s">
        <v>14</v>
      </c>
      <c r="B319" t="s">
        <v>4773</v>
      </c>
      <c r="C319" t="s">
        <v>4774</v>
      </c>
      <c r="D319" t="s">
        <v>4785</v>
      </c>
      <c r="E319" t="s">
        <v>4786</v>
      </c>
      <c r="F319" t="s">
        <v>3906</v>
      </c>
      <c r="G319" t="s">
        <v>4787</v>
      </c>
    </row>
    <row r="320" spans="1:7" ht="11.25" customHeight="1">
      <c r="A320" t="s">
        <v>14</v>
      </c>
      <c r="B320" t="s">
        <v>4773</v>
      </c>
      <c r="C320" t="s">
        <v>4774</v>
      </c>
      <c r="D320" t="s">
        <v>4788</v>
      </c>
      <c r="E320" t="s">
        <v>4789</v>
      </c>
      <c r="F320" t="s">
        <v>3906</v>
      </c>
      <c r="G320" t="s">
        <v>4790</v>
      </c>
    </row>
    <row r="321" spans="1:7" ht="11.25" customHeight="1">
      <c r="A321" t="s">
        <v>14</v>
      </c>
      <c r="B321" t="s">
        <v>4773</v>
      </c>
      <c r="C321" t="s">
        <v>4774</v>
      </c>
      <c r="D321" t="s">
        <v>4791</v>
      </c>
      <c r="E321" t="s">
        <v>4792</v>
      </c>
      <c r="F321" t="s">
        <v>3906</v>
      </c>
      <c r="G321" t="s">
        <v>4793</v>
      </c>
    </row>
    <row r="322" spans="1:7" ht="11.25" customHeight="1">
      <c r="A322" t="s">
        <v>14</v>
      </c>
      <c r="B322" t="s">
        <v>4773</v>
      </c>
      <c r="C322" t="s">
        <v>4774</v>
      </c>
      <c r="D322" t="s">
        <v>4412</v>
      </c>
      <c r="E322" t="s">
        <v>4794</v>
      </c>
      <c r="F322" t="s">
        <v>3906</v>
      </c>
      <c r="G322" t="s">
        <v>4795</v>
      </c>
    </row>
    <row r="323" spans="1:7" ht="11.25" customHeight="1">
      <c r="A323" t="s">
        <v>14</v>
      </c>
      <c r="B323" t="s">
        <v>4773</v>
      </c>
      <c r="C323" t="s">
        <v>4774</v>
      </c>
      <c r="D323" t="s">
        <v>4796</v>
      </c>
      <c r="E323" t="s">
        <v>4797</v>
      </c>
      <c r="F323" t="s">
        <v>3906</v>
      </c>
      <c r="G323" t="s">
        <v>4798</v>
      </c>
    </row>
    <row r="324" spans="1:7" ht="11.25" customHeight="1">
      <c r="A324" t="s">
        <v>14</v>
      </c>
      <c r="B324" t="s">
        <v>4773</v>
      </c>
      <c r="C324" t="s">
        <v>4774</v>
      </c>
      <c r="D324" t="s">
        <v>4799</v>
      </c>
      <c r="E324" t="s">
        <v>4800</v>
      </c>
      <c r="F324" t="s">
        <v>3906</v>
      </c>
      <c r="G324" t="s">
        <v>4801</v>
      </c>
    </row>
    <row r="325" spans="1:7" ht="11.25" customHeight="1">
      <c r="A325" t="s">
        <v>14</v>
      </c>
      <c r="B325" t="s">
        <v>4802</v>
      </c>
      <c r="C325" t="s">
        <v>4803</v>
      </c>
      <c r="D325" t="s">
        <v>4804</v>
      </c>
      <c r="E325" t="s">
        <v>4805</v>
      </c>
      <c r="F325" t="s">
        <v>3906</v>
      </c>
      <c r="G325" t="s">
        <v>4806</v>
      </c>
    </row>
    <row r="326" spans="1:7" ht="11.25" customHeight="1">
      <c r="A326" t="s">
        <v>14</v>
      </c>
      <c r="B326" t="s">
        <v>4802</v>
      </c>
      <c r="C326" t="s">
        <v>4803</v>
      </c>
      <c r="D326" t="s">
        <v>4807</v>
      </c>
      <c r="E326" t="s">
        <v>4808</v>
      </c>
      <c r="F326" t="s">
        <v>3906</v>
      </c>
      <c r="G326" t="s">
        <v>4809</v>
      </c>
    </row>
    <row r="327" spans="1:7" ht="11.25" customHeight="1">
      <c r="A327" t="s">
        <v>14</v>
      </c>
      <c r="B327" t="s">
        <v>4802</v>
      </c>
      <c r="C327" t="s">
        <v>4803</v>
      </c>
      <c r="D327" t="s">
        <v>4810</v>
      </c>
      <c r="E327" t="s">
        <v>4811</v>
      </c>
      <c r="F327" t="s">
        <v>3906</v>
      </c>
      <c r="G327" t="s">
        <v>4812</v>
      </c>
    </row>
    <row r="328" spans="1:7" ht="11.25" customHeight="1">
      <c r="A328" t="s">
        <v>14</v>
      </c>
      <c r="B328" t="s">
        <v>4802</v>
      </c>
      <c r="C328" t="s">
        <v>4803</v>
      </c>
      <c r="D328" t="s">
        <v>4813</v>
      </c>
      <c r="E328" t="s">
        <v>4814</v>
      </c>
      <c r="F328" t="s">
        <v>3906</v>
      </c>
      <c r="G328" t="s">
        <v>4815</v>
      </c>
    </row>
    <row r="329" spans="1:7" ht="11.25" customHeight="1">
      <c r="A329" t="s">
        <v>14</v>
      </c>
      <c r="B329" t="s">
        <v>4802</v>
      </c>
      <c r="C329" t="s">
        <v>4803</v>
      </c>
      <c r="D329" t="s">
        <v>4816</v>
      </c>
      <c r="E329" t="s">
        <v>4817</v>
      </c>
      <c r="F329" t="s">
        <v>3906</v>
      </c>
      <c r="G329" t="s">
        <v>4818</v>
      </c>
    </row>
    <row r="330" spans="1:7" ht="11.25" customHeight="1">
      <c r="A330" t="s">
        <v>14</v>
      </c>
      <c r="B330" t="s">
        <v>4802</v>
      </c>
      <c r="C330" t="s">
        <v>4803</v>
      </c>
      <c r="D330" t="s">
        <v>4819</v>
      </c>
      <c r="E330" t="s">
        <v>4820</v>
      </c>
      <c r="F330" t="s">
        <v>3906</v>
      </c>
      <c r="G330" t="s">
        <v>4821</v>
      </c>
    </row>
    <row r="331" spans="1:7" ht="11.25" customHeight="1">
      <c r="A331" t="s">
        <v>14</v>
      </c>
      <c r="B331" t="s">
        <v>4802</v>
      </c>
      <c r="C331" t="s">
        <v>4803</v>
      </c>
      <c r="D331" t="s">
        <v>4822</v>
      </c>
      <c r="E331" t="s">
        <v>4823</v>
      </c>
      <c r="F331" t="s">
        <v>3906</v>
      </c>
      <c r="G331" t="s">
        <v>4824</v>
      </c>
    </row>
    <row r="332" spans="1:7" ht="11.25" customHeight="1">
      <c r="A332" t="s">
        <v>14</v>
      </c>
      <c r="B332" t="s">
        <v>4802</v>
      </c>
      <c r="C332" t="s">
        <v>4803</v>
      </c>
      <c r="D332" t="s">
        <v>4802</v>
      </c>
      <c r="E332" t="s">
        <v>4803</v>
      </c>
      <c r="F332" t="s">
        <v>3903</v>
      </c>
      <c r="G332" t="s">
        <v>4825</v>
      </c>
    </row>
    <row r="333" spans="1:7" ht="11.25" customHeight="1">
      <c r="A333" t="s">
        <v>14</v>
      </c>
      <c r="B333" t="s">
        <v>4802</v>
      </c>
      <c r="C333" t="s">
        <v>4803</v>
      </c>
      <c r="D333" t="s">
        <v>4826</v>
      </c>
      <c r="E333" t="s">
        <v>4827</v>
      </c>
      <c r="F333" t="s">
        <v>3906</v>
      </c>
      <c r="G333" t="s">
        <v>4828</v>
      </c>
    </row>
    <row r="334" spans="1:7" ht="11.25" customHeight="1">
      <c r="A334" t="s">
        <v>14</v>
      </c>
      <c r="B334" t="s">
        <v>4802</v>
      </c>
      <c r="C334" t="s">
        <v>4803</v>
      </c>
      <c r="D334" t="s">
        <v>4829</v>
      </c>
      <c r="E334" t="s">
        <v>4830</v>
      </c>
      <c r="F334" t="s">
        <v>3906</v>
      </c>
      <c r="G334" t="s">
        <v>4831</v>
      </c>
    </row>
    <row r="335" spans="1:7" ht="11.25" customHeight="1">
      <c r="A335" t="s">
        <v>14</v>
      </c>
      <c r="B335" t="s">
        <v>4802</v>
      </c>
      <c r="C335" t="s">
        <v>4803</v>
      </c>
      <c r="D335" t="s">
        <v>4832</v>
      </c>
      <c r="E335" t="s">
        <v>4833</v>
      </c>
      <c r="F335" t="s">
        <v>3906</v>
      </c>
      <c r="G335" t="s">
        <v>4834</v>
      </c>
    </row>
    <row r="336" spans="1:7" ht="11.25" customHeight="1">
      <c r="A336" t="s">
        <v>14</v>
      </c>
      <c r="B336" t="s">
        <v>4802</v>
      </c>
      <c r="C336" t="s">
        <v>4803</v>
      </c>
      <c r="D336" t="s">
        <v>4835</v>
      </c>
      <c r="E336" t="s">
        <v>4836</v>
      </c>
      <c r="F336" t="s">
        <v>3906</v>
      </c>
      <c r="G336" t="s">
        <v>4837</v>
      </c>
    </row>
    <row r="337" spans="1:7" ht="11.25" customHeight="1">
      <c r="A337" t="s">
        <v>14</v>
      </c>
      <c r="B337" t="s">
        <v>4802</v>
      </c>
      <c r="C337" t="s">
        <v>4803</v>
      </c>
      <c r="D337" t="s">
        <v>4838</v>
      </c>
      <c r="E337" t="s">
        <v>4839</v>
      </c>
      <c r="F337" t="s">
        <v>3906</v>
      </c>
      <c r="G337" t="s">
        <v>4840</v>
      </c>
    </row>
    <row r="338" spans="1:7" ht="11.25" customHeight="1">
      <c r="A338" t="s">
        <v>14</v>
      </c>
      <c r="B338" t="s">
        <v>4802</v>
      </c>
      <c r="C338" t="s">
        <v>4803</v>
      </c>
      <c r="D338" t="s">
        <v>4841</v>
      </c>
      <c r="E338" t="s">
        <v>4842</v>
      </c>
      <c r="F338" t="s">
        <v>3984</v>
      </c>
      <c r="G338" t="s">
        <v>4843</v>
      </c>
    </row>
    <row r="339" spans="1:7" ht="11.25" customHeight="1">
      <c r="A339" t="s">
        <v>14</v>
      </c>
      <c r="B339" t="s">
        <v>4802</v>
      </c>
      <c r="C339" t="s">
        <v>4803</v>
      </c>
      <c r="D339" t="s">
        <v>4844</v>
      </c>
      <c r="E339" t="s">
        <v>4845</v>
      </c>
      <c r="F339" t="s">
        <v>3984</v>
      </c>
      <c r="G339" t="s">
        <v>4846</v>
      </c>
    </row>
    <row r="340" spans="1:7" ht="11.25" customHeight="1">
      <c r="A340" t="s">
        <v>14</v>
      </c>
      <c r="B340" t="s">
        <v>4802</v>
      </c>
      <c r="C340" t="s">
        <v>4803</v>
      </c>
      <c r="D340" t="s">
        <v>4847</v>
      </c>
      <c r="E340" t="s">
        <v>4848</v>
      </c>
      <c r="F340" t="s">
        <v>3906</v>
      </c>
      <c r="G340" t="s">
        <v>4849</v>
      </c>
    </row>
    <row r="341" spans="1:7" ht="11.25" customHeight="1">
      <c r="A341" t="s">
        <v>14</v>
      </c>
      <c r="B341" t="s">
        <v>4802</v>
      </c>
      <c r="C341" t="s">
        <v>4803</v>
      </c>
      <c r="D341" t="s">
        <v>4850</v>
      </c>
      <c r="E341" t="s">
        <v>4851</v>
      </c>
      <c r="F341" t="s">
        <v>3906</v>
      </c>
      <c r="G341" t="s">
        <v>4852</v>
      </c>
    </row>
    <row r="342" spans="1:7" ht="11.25" customHeight="1">
      <c r="A342" t="s">
        <v>14</v>
      </c>
      <c r="B342" t="s">
        <v>4802</v>
      </c>
      <c r="C342" t="s">
        <v>4803</v>
      </c>
      <c r="D342" t="s">
        <v>4853</v>
      </c>
      <c r="E342" t="s">
        <v>4854</v>
      </c>
      <c r="F342" t="s">
        <v>3906</v>
      </c>
      <c r="G342" t="s">
        <v>4855</v>
      </c>
    </row>
    <row r="343" spans="1:7" ht="11.25" customHeight="1">
      <c r="A343" t="s">
        <v>14</v>
      </c>
      <c r="B343" t="s">
        <v>4802</v>
      </c>
      <c r="C343" t="s">
        <v>4803</v>
      </c>
      <c r="D343" t="s">
        <v>4856</v>
      </c>
      <c r="E343" t="s">
        <v>4857</v>
      </c>
      <c r="F343" t="s">
        <v>3906</v>
      </c>
      <c r="G343" t="s">
        <v>4858</v>
      </c>
    </row>
    <row r="344" spans="1:7" ht="11.25" customHeight="1">
      <c r="A344" t="s">
        <v>14</v>
      </c>
      <c r="B344" t="s">
        <v>4802</v>
      </c>
      <c r="C344" t="s">
        <v>4803</v>
      </c>
      <c r="D344" t="s">
        <v>4859</v>
      </c>
      <c r="E344" t="s">
        <v>4860</v>
      </c>
      <c r="F344" t="s">
        <v>3906</v>
      </c>
      <c r="G344" t="s">
        <v>4861</v>
      </c>
    </row>
    <row r="345" spans="1:7" ht="11.25" customHeight="1">
      <c r="A345" t="s">
        <v>14</v>
      </c>
      <c r="B345" t="s">
        <v>4802</v>
      </c>
      <c r="C345" t="s">
        <v>4803</v>
      </c>
      <c r="D345" t="s">
        <v>4862</v>
      </c>
      <c r="E345" t="s">
        <v>4863</v>
      </c>
      <c r="F345" t="s">
        <v>4512</v>
      </c>
      <c r="G345" t="s">
        <v>4864</v>
      </c>
    </row>
    <row r="346" spans="1:7" ht="11.25" customHeight="1">
      <c r="A346" t="s">
        <v>14</v>
      </c>
      <c r="B346" t="s">
        <v>4802</v>
      </c>
      <c r="C346" t="s">
        <v>4803</v>
      </c>
      <c r="D346" t="s">
        <v>4865</v>
      </c>
      <c r="E346" t="s">
        <v>4866</v>
      </c>
      <c r="F346" t="s">
        <v>3984</v>
      </c>
      <c r="G346" t="s">
        <v>4867</v>
      </c>
    </row>
    <row r="347" spans="1:7" ht="11.25" customHeight="1">
      <c r="A347" t="s">
        <v>14</v>
      </c>
      <c r="B347" t="s">
        <v>4802</v>
      </c>
      <c r="C347" t="s">
        <v>4803</v>
      </c>
      <c r="D347" t="s">
        <v>4868</v>
      </c>
      <c r="E347" t="s">
        <v>4869</v>
      </c>
      <c r="F347" t="s">
        <v>3984</v>
      </c>
      <c r="G347" t="s">
        <v>4870</v>
      </c>
    </row>
    <row r="348" spans="1:7" ht="11.25" customHeight="1">
      <c r="A348" t="s">
        <v>14</v>
      </c>
      <c r="B348" t="s">
        <v>4802</v>
      </c>
      <c r="C348" t="s">
        <v>4803</v>
      </c>
      <c r="D348" t="s">
        <v>4871</v>
      </c>
      <c r="E348" t="s">
        <v>4872</v>
      </c>
      <c r="F348" t="s">
        <v>3984</v>
      </c>
      <c r="G348" t="s">
        <v>4873</v>
      </c>
    </row>
    <row r="349" spans="1:7" ht="11.25" customHeight="1">
      <c r="A349" t="s">
        <v>14</v>
      </c>
      <c r="B349" t="s">
        <v>4874</v>
      </c>
      <c r="C349" t="s">
        <v>4875</v>
      </c>
      <c r="D349" t="s">
        <v>4876</v>
      </c>
      <c r="E349" t="s">
        <v>4877</v>
      </c>
      <c r="F349" t="s">
        <v>3906</v>
      </c>
      <c r="G349" t="s">
        <v>4878</v>
      </c>
    </row>
    <row r="350" spans="1:7" ht="11.25" customHeight="1">
      <c r="A350" t="s">
        <v>14</v>
      </c>
      <c r="B350" t="s">
        <v>4874</v>
      </c>
      <c r="C350" t="s">
        <v>4875</v>
      </c>
      <c r="D350" t="s">
        <v>4879</v>
      </c>
      <c r="E350" t="s">
        <v>4880</v>
      </c>
      <c r="F350" t="s">
        <v>3906</v>
      </c>
      <c r="G350" t="s">
        <v>4881</v>
      </c>
    </row>
    <row r="351" spans="1:7" ht="11.25" customHeight="1">
      <c r="A351" t="s">
        <v>14</v>
      </c>
      <c r="B351" t="s">
        <v>4874</v>
      </c>
      <c r="C351" t="s">
        <v>4875</v>
      </c>
      <c r="D351" t="s">
        <v>4882</v>
      </c>
      <c r="E351" t="s">
        <v>4883</v>
      </c>
      <c r="F351" t="s">
        <v>3906</v>
      </c>
      <c r="G351" t="s">
        <v>4884</v>
      </c>
    </row>
    <row r="352" spans="1:7" ht="11.25" customHeight="1">
      <c r="A352" t="s">
        <v>14</v>
      </c>
      <c r="B352" t="s">
        <v>4874</v>
      </c>
      <c r="C352" t="s">
        <v>4875</v>
      </c>
      <c r="D352" t="s">
        <v>4885</v>
      </c>
      <c r="E352" t="s">
        <v>4886</v>
      </c>
      <c r="F352" t="s">
        <v>3906</v>
      </c>
      <c r="G352" t="s">
        <v>4887</v>
      </c>
    </row>
    <row r="353" spans="1:7" ht="11.25" customHeight="1">
      <c r="A353" t="s">
        <v>14</v>
      </c>
      <c r="B353" t="s">
        <v>4874</v>
      </c>
      <c r="C353" t="s">
        <v>4875</v>
      </c>
      <c r="D353" t="s">
        <v>4888</v>
      </c>
      <c r="E353" t="s">
        <v>4889</v>
      </c>
      <c r="F353" t="s">
        <v>3906</v>
      </c>
      <c r="G353" t="s">
        <v>4890</v>
      </c>
    </row>
    <row r="354" spans="1:7" ht="11.25" customHeight="1">
      <c r="A354" t="s">
        <v>14</v>
      </c>
      <c r="B354" t="s">
        <v>4874</v>
      </c>
      <c r="C354" t="s">
        <v>4875</v>
      </c>
      <c r="D354" t="s">
        <v>4874</v>
      </c>
      <c r="E354" t="s">
        <v>4875</v>
      </c>
      <c r="F354" t="s">
        <v>3903</v>
      </c>
      <c r="G354" t="s">
        <v>4891</v>
      </c>
    </row>
    <row r="355" spans="1:7" ht="11.25" customHeight="1">
      <c r="A355" t="s">
        <v>14</v>
      </c>
      <c r="B355" t="s">
        <v>4874</v>
      </c>
      <c r="C355" t="s">
        <v>4875</v>
      </c>
      <c r="D355" t="s">
        <v>4892</v>
      </c>
      <c r="E355" t="s">
        <v>4893</v>
      </c>
      <c r="F355" t="s">
        <v>3906</v>
      </c>
      <c r="G355" t="s">
        <v>4894</v>
      </c>
    </row>
    <row r="356" spans="1:7" ht="11.25" customHeight="1">
      <c r="A356" t="s">
        <v>14</v>
      </c>
      <c r="B356" t="s">
        <v>4874</v>
      </c>
      <c r="C356" t="s">
        <v>4875</v>
      </c>
      <c r="D356" t="s">
        <v>4895</v>
      </c>
      <c r="E356" t="s">
        <v>4896</v>
      </c>
      <c r="F356" t="s">
        <v>3906</v>
      </c>
      <c r="G356" t="s">
        <v>4897</v>
      </c>
    </row>
    <row r="357" spans="1:7" ht="11.25" customHeight="1">
      <c r="A357" t="s">
        <v>14</v>
      </c>
      <c r="B357" t="s">
        <v>4874</v>
      </c>
      <c r="C357" t="s">
        <v>4875</v>
      </c>
      <c r="D357" t="s">
        <v>4898</v>
      </c>
      <c r="E357" t="s">
        <v>4899</v>
      </c>
      <c r="F357" t="s">
        <v>3906</v>
      </c>
      <c r="G357" t="s">
        <v>4900</v>
      </c>
    </row>
    <row r="358" spans="1:7" ht="11.25" customHeight="1">
      <c r="A358" t="s">
        <v>14</v>
      </c>
      <c r="B358" t="s">
        <v>4874</v>
      </c>
      <c r="C358" t="s">
        <v>4875</v>
      </c>
      <c r="D358" t="s">
        <v>4901</v>
      </c>
      <c r="E358" t="s">
        <v>4902</v>
      </c>
      <c r="F358" t="s">
        <v>3906</v>
      </c>
      <c r="G358" t="s">
        <v>4903</v>
      </c>
    </row>
    <row r="359" spans="1:7" ht="11.25" customHeight="1">
      <c r="A359" t="s">
        <v>14</v>
      </c>
      <c r="B359" t="s">
        <v>4874</v>
      </c>
      <c r="C359" t="s">
        <v>4875</v>
      </c>
      <c r="D359" t="s">
        <v>4904</v>
      </c>
      <c r="E359" t="s">
        <v>4905</v>
      </c>
      <c r="F359" t="s">
        <v>3906</v>
      </c>
      <c r="G359" t="s">
        <v>4906</v>
      </c>
    </row>
    <row r="360" spans="1:7" ht="11.25" customHeight="1">
      <c r="A360" t="s">
        <v>14</v>
      </c>
      <c r="B360" t="s">
        <v>4874</v>
      </c>
      <c r="C360" t="s">
        <v>4875</v>
      </c>
      <c r="D360" t="s">
        <v>4907</v>
      </c>
      <c r="E360" t="s">
        <v>4908</v>
      </c>
      <c r="F360" t="s">
        <v>3906</v>
      </c>
      <c r="G360" t="s">
        <v>4909</v>
      </c>
    </row>
    <row r="361" spans="1:7" ht="11.25" customHeight="1">
      <c r="A361" t="s">
        <v>14</v>
      </c>
      <c r="B361" t="s">
        <v>4910</v>
      </c>
      <c r="C361" t="s">
        <v>4911</v>
      </c>
      <c r="D361" t="s">
        <v>4912</v>
      </c>
      <c r="E361" t="s">
        <v>4913</v>
      </c>
      <c r="F361" t="s">
        <v>3906</v>
      </c>
      <c r="G361" t="s">
        <v>4914</v>
      </c>
    </row>
    <row r="362" spans="1:7" ht="11.25" customHeight="1">
      <c r="A362" t="s">
        <v>14</v>
      </c>
      <c r="B362" t="s">
        <v>4910</v>
      </c>
      <c r="C362" t="s">
        <v>4911</v>
      </c>
      <c r="D362" t="s">
        <v>4915</v>
      </c>
      <c r="E362" t="s">
        <v>4916</v>
      </c>
      <c r="F362" t="s">
        <v>3906</v>
      </c>
      <c r="G362" t="s">
        <v>4917</v>
      </c>
    </row>
    <row r="363" spans="1:7" ht="11.25" customHeight="1">
      <c r="A363" t="s">
        <v>14</v>
      </c>
      <c r="B363" t="s">
        <v>4910</v>
      </c>
      <c r="C363" t="s">
        <v>4911</v>
      </c>
      <c r="D363" t="s">
        <v>4918</v>
      </c>
      <c r="E363" t="s">
        <v>4919</v>
      </c>
      <c r="F363" t="s">
        <v>3906</v>
      </c>
      <c r="G363" t="s">
        <v>4920</v>
      </c>
    </row>
    <row r="364" spans="1:7" ht="11.25" customHeight="1">
      <c r="A364" t="s">
        <v>14</v>
      </c>
      <c r="B364" t="s">
        <v>4910</v>
      </c>
      <c r="C364" t="s">
        <v>4911</v>
      </c>
      <c r="D364" t="s">
        <v>4921</v>
      </c>
      <c r="E364" t="s">
        <v>4922</v>
      </c>
      <c r="F364" t="s">
        <v>3906</v>
      </c>
      <c r="G364" t="s">
        <v>4923</v>
      </c>
    </row>
    <row r="365" spans="1:7" ht="11.25" customHeight="1">
      <c r="A365" t="s">
        <v>14</v>
      </c>
      <c r="B365" t="s">
        <v>4910</v>
      </c>
      <c r="C365" t="s">
        <v>4911</v>
      </c>
      <c r="D365" t="s">
        <v>4924</v>
      </c>
      <c r="E365" t="s">
        <v>4925</v>
      </c>
      <c r="F365" t="s">
        <v>3906</v>
      </c>
      <c r="G365" t="s">
        <v>4926</v>
      </c>
    </row>
    <row r="366" spans="1:7" ht="11.25" customHeight="1">
      <c r="A366" t="s">
        <v>14</v>
      </c>
      <c r="B366" t="s">
        <v>4910</v>
      </c>
      <c r="C366" t="s">
        <v>4911</v>
      </c>
      <c r="D366" t="s">
        <v>4927</v>
      </c>
      <c r="E366" t="s">
        <v>4928</v>
      </c>
      <c r="F366" t="s">
        <v>3906</v>
      </c>
      <c r="G366" t="s">
        <v>4929</v>
      </c>
    </row>
    <row r="367" spans="1:7" ht="11.25" customHeight="1">
      <c r="A367" t="s">
        <v>14</v>
      </c>
      <c r="B367" t="s">
        <v>4910</v>
      </c>
      <c r="C367" t="s">
        <v>4911</v>
      </c>
      <c r="D367" t="s">
        <v>4930</v>
      </c>
      <c r="E367" t="s">
        <v>4931</v>
      </c>
      <c r="F367" t="s">
        <v>3906</v>
      </c>
      <c r="G367" t="s">
        <v>4932</v>
      </c>
    </row>
    <row r="368" spans="1:7" ht="11.25" customHeight="1">
      <c r="A368" t="s">
        <v>14</v>
      </c>
      <c r="B368" t="s">
        <v>4910</v>
      </c>
      <c r="C368" t="s">
        <v>4911</v>
      </c>
      <c r="D368" t="s">
        <v>4910</v>
      </c>
      <c r="E368" t="s">
        <v>4911</v>
      </c>
      <c r="F368" t="s">
        <v>3903</v>
      </c>
      <c r="G368" t="s">
        <v>4933</v>
      </c>
    </row>
    <row r="369" spans="1:7" ht="11.25" customHeight="1">
      <c r="A369" t="s">
        <v>14</v>
      </c>
      <c r="B369" t="s">
        <v>4910</v>
      </c>
      <c r="C369" t="s">
        <v>4911</v>
      </c>
      <c r="D369" t="s">
        <v>4934</v>
      </c>
      <c r="E369" t="s">
        <v>4935</v>
      </c>
      <c r="F369" t="s">
        <v>3906</v>
      </c>
      <c r="G369" t="s">
        <v>4936</v>
      </c>
    </row>
    <row r="370" spans="1:7" ht="11.25" customHeight="1">
      <c r="A370" t="s">
        <v>14</v>
      </c>
      <c r="B370" t="s">
        <v>4910</v>
      </c>
      <c r="C370" t="s">
        <v>4911</v>
      </c>
      <c r="D370" t="s">
        <v>4937</v>
      </c>
      <c r="E370" t="s">
        <v>4938</v>
      </c>
      <c r="F370" t="s">
        <v>3906</v>
      </c>
      <c r="G370" t="s">
        <v>4939</v>
      </c>
    </row>
    <row r="371" spans="1:7" ht="11.25" customHeight="1">
      <c r="A371" t="s">
        <v>14</v>
      </c>
      <c r="B371" t="s">
        <v>4910</v>
      </c>
      <c r="C371" t="s">
        <v>4911</v>
      </c>
      <c r="D371" t="s">
        <v>4940</v>
      </c>
      <c r="E371" t="s">
        <v>4941</v>
      </c>
      <c r="F371" t="s">
        <v>3906</v>
      </c>
      <c r="G371" t="s">
        <v>4942</v>
      </c>
    </row>
    <row r="372" spans="1:7" ht="11.25" customHeight="1">
      <c r="A372" t="s">
        <v>14</v>
      </c>
      <c r="B372" t="s">
        <v>4910</v>
      </c>
      <c r="C372" t="s">
        <v>4911</v>
      </c>
      <c r="D372" t="s">
        <v>4943</v>
      </c>
      <c r="E372" t="s">
        <v>4944</v>
      </c>
      <c r="F372" t="s">
        <v>3906</v>
      </c>
      <c r="G372" t="s">
        <v>4945</v>
      </c>
    </row>
    <row r="373" spans="1:7" ht="11.25" customHeight="1">
      <c r="A373" t="s">
        <v>14</v>
      </c>
      <c r="B373" t="s">
        <v>4910</v>
      </c>
      <c r="C373" t="s">
        <v>4911</v>
      </c>
      <c r="D373" t="s">
        <v>4946</v>
      </c>
      <c r="E373" t="s">
        <v>4947</v>
      </c>
      <c r="F373" t="s">
        <v>3906</v>
      </c>
      <c r="G373" t="s">
        <v>4948</v>
      </c>
    </row>
    <row r="374" spans="1:7" ht="11.25" customHeight="1">
      <c r="A374" t="s">
        <v>14</v>
      </c>
      <c r="B374" t="s">
        <v>4910</v>
      </c>
      <c r="C374" t="s">
        <v>4911</v>
      </c>
      <c r="D374" t="s">
        <v>4949</v>
      </c>
      <c r="E374" t="s">
        <v>4950</v>
      </c>
      <c r="F374" t="s">
        <v>3906</v>
      </c>
      <c r="G374" t="s">
        <v>4951</v>
      </c>
    </row>
    <row r="375" spans="1:7" ht="11.25" customHeight="1">
      <c r="A375" t="s">
        <v>14</v>
      </c>
      <c r="B375" t="s">
        <v>4952</v>
      </c>
      <c r="C375" t="s">
        <v>4953</v>
      </c>
      <c r="D375" t="s">
        <v>4954</v>
      </c>
      <c r="E375" t="s">
        <v>4955</v>
      </c>
      <c r="F375" t="s">
        <v>3906</v>
      </c>
      <c r="G375" t="s">
        <v>4956</v>
      </c>
    </row>
    <row r="376" spans="1:7" ht="11.25" customHeight="1">
      <c r="A376" t="s">
        <v>14</v>
      </c>
      <c r="B376" t="s">
        <v>4952</v>
      </c>
      <c r="C376" t="s">
        <v>4953</v>
      </c>
      <c r="D376" t="s">
        <v>4957</v>
      </c>
      <c r="E376" t="s">
        <v>4958</v>
      </c>
      <c r="F376" t="s">
        <v>3906</v>
      </c>
      <c r="G376" t="s">
        <v>4959</v>
      </c>
    </row>
    <row r="377" spans="1:7" ht="11.25" customHeight="1">
      <c r="A377" t="s">
        <v>14</v>
      </c>
      <c r="B377" t="s">
        <v>4952</v>
      </c>
      <c r="C377" t="s">
        <v>4953</v>
      </c>
      <c r="D377" t="s">
        <v>4960</v>
      </c>
      <c r="E377" t="s">
        <v>4961</v>
      </c>
      <c r="F377" t="s">
        <v>3906</v>
      </c>
      <c r="G377" t="s">
        <v>4962</v>
      </c>
    </row>
    <row r="378" spans="1:7" ht="11.25" customHeight="1">
      <c r="A378" t="s">
        <v>14</v>
      </c>
      <c r="B378" t="s">
        <v>4952</v>
      </c>
      <c r="C378" t="s">
        <v>4953</v>
      </c>
      <c r="D378" t="s">
        <v>4963</v>
      </c>
      <c r="E378" t="s">
        <v>4964</v>
      </c>
      <c r="F378" t="s">
        <v>4075</v>
      </c>
      <c r="G378" t="s">
        <v>4965</v>
      </c>
    </row>
    <row r="379" spans="1:7" ht="11.25" customHeight="1">
      <c r="A379" t="s">
        <v>14</v>
      </c>
      <c r="B379" t="s">
        <v>4952</v>
      </c>
      <c r="C379" t="s">
        <v>4953</v>
      </c>
      <c r="D379" t="s">
        <v>4952</v>
      </c>
      <c r="E379" t="s">
        <v>4953</v>
      </c>
      <c r="F379" t="s">
        <v>3903</v>
      </c>
      <c r="G379" t="s">
        <v>4966</v>
      </c>
    </row>
    <row r="380" spans="1:7" ht="11.25" customHeight="1">
      <c r="A380" t="s">
        <v>14</v>
      </c>
      <c r="B380" t="s">
        <v>4952</v>
      </c>
      <c r="C380" t="s">
        <v>4953</v>
      </c>
      <c r="D380" t="s">
        <v>4967</v>
      </c>
      <c r="E380" t="s">
        <v>4968</v>
      </c>
      <c r="F380" t="s">
        <v>3906</v>
      </c>
      <c r="G380" t="s">
        <v>4969</v>
      </c>
    </row>
    <row r="381" spans="1:7" ht="11.25" customHeight="1">
      <c r="A381" t="s">
        <v>14</v>
      </c>
      <c r="B381" t="s">
        <v>4952</v>
      </c>
      <c r="C381" t="s">
        <v>4953</v>
      </c>
      <c r="D381" t="s">
        <v>4970</v>
      </c>
      <c r="E381" t="s">
        <v>4971</v>
      </c>
      <c r="F381" t="s">
        <v>3906</v>
      </c>
      <c r="G381" t="s">
        <v>4972</v>
      </c>
    </row>
    <row r="382" spans="1:7" ht="11.25" customHeight="1">
      <c r="A382" t="s">
        <v>14</v>
      </c>
      <c r="B382" t="s">
        <v>4952</v>
      </c>
      <c r="C382" t="s">
        <v>4953</v>
      </c>
      <c r="D382" t="s">
        <v>4973</v>
      </c>
      <c r="E382" t="s">
        <v>4974</v>
      </c>
      <c r="F382" t="s">
        <v>3906</v>
      </c>
      <c r="G382" t="s">
        <v>4975</v>
      </c>
    </row>
    <row r="383" spans="1:7" ht="11.25" customHeight="1">
      <c r="A383" t="s">
        <v>14</v>
      </c>
      <c r="B383" t="s">
        <v>4952</v>
      </c>
      <c r="C383" t="s">
        <v>4953</v>
      </c>
      <c r="D383" t="s">
        <v>4976</v>
      </c>
      <c r="E383" t="s">
        <v>4977</v>
      </c>
      <c r="F383" t="s">
        <v>3906</v>
      </c>
      <c r="G383" t="s">
        <v>4978</v>
      </c>
    </row>
    <row r="384" spans="1:7" ht="11.25" customHeight="1">
      <c r="A384" t="s">
        <v>14</v>
      </c>
      <c r="B384" t="s">
        <v>4952</v>
      </c>
      <c r="C384" t="s">
        <v>4953</v>
      </c>
      <c r="D384" t="s">
        <v>4979</v>
      </c>
      <c r="E384" t="s">
        <v>4980</v>
      </c>
      <c r="F384" t="s">
        <v>3906</v>
      </c>
      <c r="G384" t="s">
        <v>4981</v>
      </c>
    </row>
    <row r="385" spans="1:7" ht="11.25" customHeight="1">
      <c r="A385" t="s">
        <v>14</v>
      </c>
      <c r="B385" t="s">
        <v>4952</v>
      </c>
      <c r="C385" t="s">
        <v>4953</v>
      </c>
      <c r="D385" t="s">
        <v>4982</v>
      </c>
      <c r="E385" t="s">
        <v>4983</v>
      </c>
      <c r="F385" t="s">
        <v>3906</v>
      </c>
      <c r="G385" t="s">
        <v>4984</v>
      </c>
    </row>
    <row r="386" spans="1:7" ht="11.25" customHeight="1">
      <c r="A386" t="s">
        <v>14</v>
      </c>
      <c r="B386" t="s">
        <v>4952</v>
      </c>
      <c r="C386" t="s">
        <v>4953</v>
      </c>
      <c r="D386" t="s">
        <v>4985</v>
      </c>
      <c r="E386" t="s">
        <v>4986</v>
      </c>
      <c r="F386" t="s">
        <v>3984</v>
      </c>
      <c r="G386" t="s">
        <v>4987</v>
      </c>
    </row>
    <row r="387" spans="1:7" ht="11.25" customHeight="1">
      <c r="A387" t="s">
        <v>14</v>
      </c>
      <c r="B387" t="s">
        <v>4952</v>
      </c>
      <c r="C387" t="s">
        <v>4953</v>
      </c>
      <c r="D387" t="s">
        <v>4988</v>
      </c>
      <c r="E387" t="s">
        <v>4989</v>
      </c>
      <c r="F387" t="s">
        <v>3984</v>
      </c>
      <c r="G387" t="s">
        <v>4990</v>
      </c>
    </row>
    <row r="388" spans="1:7" ht="11.25" customHeight="1">
      <c r="A388" t="s">
        <v>14</v>
      </c>
      <c r="B388" t="s">
        <v>4952</v>
      </c>
      <c r="C388" t="s">
        <v>4953</v>
      </c>
      <c r="D388" t="s">
        <v>4991</v>
      </c>
      <c r="E388" t="s">
        <v>4992</v>
      </c>
      <c r="F388" t="s">
        <v>3984</v>
      </c>
      <c r="G388" t="s">
        <v>4993</v>
      </c>
    </row>
    <row r="389" spans="1:7" ht="11.25" customHeight="1">
      <c r="A389" t="s">
        <v>14</v>
      </c>
      <c r="B389" t="s">
        <v>4994</v>
      </c>
      <c r="C389" t="s">
        <v>4995</v>
      </c>
      <c r="D389" t="s">
        <v>4996</v>
      </c>
      <c r="E389" t="s">
        <v>4997</v>
      </c>
      <c r="F389" t="s">
        <v>3906</v>
      </c>
      <c r="G389" t="s">
        <v>4998</v>
      </c>
    </row>
    <row r="390" spans="1:7" ht="11.25" customHeight="1">
      <c r="A390" t="s">
        <v>14</v>
      </c>
      <c r="B390" t="s">
        <v>4994</v>
      </c>
      <c r="C390" t="s">
        <v>4995</v>
      </c>
      <c r="D390" t="s">
        <v>4999</v>
      </c>
      <c r="E390" t="s">
        <v>5000</v>
      </c>
      <c r="F390" t="s">
        <v>3906</v>
      </c>
      <c r="G390" t="s">
        <v>5001</v>
      </c>
    </row>
    <row r="391" spans="1:7" ht="11.25" customHeight="1">
      <c r="A391" t="s">
        <v>14</v>
      </c>
      <c r="B391" t="s">
        <v>4994</v>
      </c>
      <c r="C391" t="s">
        <v>4995</v>
      </c>
      <c r="D391" t="s">
        <v>5002</v>
      </c>
      <c r="E391" t="s">
        <v>5003</v>
      </c>
      <c r="F391" t="s">
        <v>3906</v>
      </c>
      <c r="G391" t="s">
        <v>5004</v>
      </c>
    </row>
    <row r="392" spans="1:7" ht="11.25" customHeight="1">
      <c r="A392" t="s">
        <v>14</v>
      </c>
      <c r="B392" t="s">
        <v>4994</v>
      </c>
      <c r="C392" t="s">
        <v>4995</v>
      </c>
      <c r="D392" t="s">
        <v>5005</v>
      </c>
      <c r="E392" t="s">
        <v>5006</v>
      </c>
      <c r="F392" t="s">
        <v>3906</v>
      </c>
      <c r="G392" t="s">
        <v>5007</v>
      </c>
    </row>
    <row r="393" spans="1:7" ht="11.25" customHeight="1">
      <c r="A393" t="s">
        <v>14</v>
      </c>
      <c r="B393" t="s">
        <v>4994</v>
      </c>
      <c r="C393" t="s">
        <v>4995</v>
      </c>
      <c r="D393" t="s">
        <v>5008</v>
      </c>
      <c r="E393" t="s">
        <v>5009</v>
      </c>
      <c r="F393" t="s">
        <v>3906</v>
      </c>
      <c r="G393" t="s">
        <v>5010</v>
      </c>
    </row>
    <row r="394" spans="1:7" ht="11.25" customHeight="1">
      <c r="A394" t="s">
        <v>14</v>
      </c>
      <c r="B394" t="s">
        <v>4994</v>
      </c>
      <c r="C394" t="s">
        <v>4995</v>
      </c>
      <c r="D394" t="s">
        <v>4994</v>
      </c>
      <c r="E394" t="s">
        <v>4995</v>
      </c>
      <c r="F394" t="s">
        <v>3903</v>
      </c>
      <c r="G394" t="s">
        <v>5011</v>
      </c>
    </row>
    <row r="395" spans="1:7" ht="11.25" customHeight="1">
      <c r="A395" t="s">
        <v>14</v>
      </c>
      <c r="B395" t="s">
        <v>4994</v>
      </c>
      <c r="C395" t="s">
        <v>4995</v>
      </c>
      <c r="D395" t="s">
        <v>5012</v>
      </c>
      <c r="E395" t="s">
        <v>5013</v>
      </c>
      <c r="F395" t="s">
        <v>3906</v>
      </c>
      <c r="G395" t="s">
        <v>5014</v>
      </c>
    </row>
    <row r="396" spans="1:7" ht="11.25" customHeight="1">
      <c r="A396" t="s">
        <v>14</v>
      </c>
      <c r="B396" t="s">
        <v>4994</v>
      </c>
      <c r="C396" t="s">
        <v>4995</v>
      </c>
      <c r="D396" t="s">
        <v>5015</v>
      </c>
      <c r="E396" t="s">
        <v>5016</v>
      </c>
      <c r="F396" t="s">
        <v>3906</v>
      </c>
      <c r="G396" t="s">
        <v>5017</v>
      </c>
    </row>
    <row r="397" spans="1:7" ht="11.25" customHeight="1">
      <c r="A397" t="s">
        <v>14</v>
      </c>
      <c r="B397" t="s">
        <v>4994</v>
      </c>
      <c r="C397" t="s">
        <v>4995</v>
      </c>
      <c r="D397" t="s">
        <v>3949</v>
      </c>
      <c r="E397" t="s">
        <v>5018</v>
      </c>
      <c r="F397" t="s">
        <v>3906</v>
      </c>
      <c r="G397" t="s">
        <v>5019</v>
      </c>
    </row>
    <row r="398" spans="1:7" ht="11.25" customHeight="1">
      <c r="A398" t="s">
        <v>14</v>
      </c>
      <c r="B398" t="s">
        <v>4994</v>
      </c>
      <c r="C398" t="s">
        <v>4995</v>
      </c>
      <c r="D398" t="s">
        <v>5020</v>
      </c>
      <c r="E398" t="s">
        <v>5021</v>
      </c>
      <c r="F398" t="s">
        <v>3906</v>
      </c>
      <c r="G398" t="s">
        <v>5022</v>
      </c>
    </row>
    <row r="399" spans="1:7" ht="11.25" customHeight="1">
      <c r="A399" t="s">
        <v>14</v>
      </c>
      <c r="B399" t="s">
        <v>4994</v>
      </c>
      <c r="C399" t="s">
        <v>4995</v>
      </c>
      <c r="D399" t="s">
        <v>5023</v>
      </c>
      <c r="E399" t="s">
        <v>5024</v>
      </c>
      <c r="F399" t="s">
        <v>3906</v>
      </c>
      <c r="G399" t="s">
        <v>5025</v>
      </c>
    </row>
    <row r="400" spans="1:7" ht="11.25" customHeight="1">
      <c r="A400" t="s">
        <v>14</v>
      </c>
      <c r="B400" t="s">
        <v>5026</v>
      </c>
      <c r="C400" t="s">
        <v>5027</v>
      </c>
      <c r="D400" t="s">
        <v>4516</v>
      </c>
      <c r="E400" t="s">
        <v>5028</v>
      </c>
      <c r="F400" t="s">
        <v>3906</v>
      </c>
      <c r="G400" t="s">
        <v>5029</v>
      </c>
    </row>
    <row r="401" spans="1:7" ht="11.25" customHeight="1">
      <c r="A401" t="s">
        <v>14</v>
      </c>
      <c r="B401" t="s">
        <v>5026</v>
      </c>
      <c r="C401" t="s">
        <v>5027</v>
      </c>
      <c r="D401" t="s">
        <v>5030</v>
      </c>
      <c r="E401" t="s">
        <v>5031</v>
      </c>
      <c r="F401" t="s">
        <v>3906</v>
      </c>
      <c r="G401" t="s">
        <v>5032</v>
      </c>
    </row>
    <row r="402" spans="1:7" ht="11.25" customHeight="1">
      <c r="A402" t="s">
        <v>14</v>
      </c>
      <c r="B402" t="s">
        <v>5026</v>
      </c>
      <c r="C402" t="s">
        <v>5027</v>
      </c>
      <c r="D402" t="s">
        <v>5033</v>
      </c>
      <c r="E402" t="s">
        <v>5034</v>
      </c>
      <c r="F402" t="s">
        <v>3906</v>
      </c>
      <c r="G402" t="s">
        <v>5035</v>
      </c>
    </row>
    <row r="403" spans="1:7" ht="11.25" customHeight="1">
      <c r="A403" t="s">
        <v>14</v>
      </c>
      <c r="B403" t="s">
        <v>5026</v>
      </c>
      <c r="C403" t="s">
        <v>5027</v>
      </c>
      <c r="D403" t="s">
        <v>5036</v>
      </c>
      <c r="E403" t="s">
        <v>5037</v>
      </c>
      <c r="F403" t="s">
        <v>3906</v>
      </c>
      <c r="G403" t="s">
        <v>5038</v>
      </c>
    </row>
    <row r="404" spans="1:7" ht="11.25" customHeight="1">
      <c r="A404" t="s">
        <v>14</v>
      </c>
      <c r="B404" t="s">
        <v>5026</v>
      </c>
      <c r="C404" t="s">
        <v>5027</v>
      </c>
      <c r="D404" t="s">
        <v>5039</v>
      </c>
      <c r="E404" t="s">
        <v>5040</v>
      </c>
      <c r="F404" t="s">
        <v>3906</v>
      </c>
      <c r="G404" t="s">
        <v>5041</v>
      </c>
    </row>
    <row r="405" spans="1:7" ht="11.25" customHeight="1">
      <c r="A405" t="s">
        <v>14</v>
      </c>
      <c r="B405" t="s">
        <v>5026</v>
      </c>
      <c r="C405" t="s">
        <v>5027</v>
      </c>
      <c r="D405" t="s">
        <v>5042</v>
      </c>
      <c r="E405" t="s">
        <v>5043</v>
      </c>
      <c r="F405" t="s">
        <v>3906</v>
      </c>
      <c r="G405" t="s">
        <v>5044</v>
      </c>
    </row>
    <row r="406" spans="1:7" ht="11.25" customHeight="1">
      <c r="A406" t="s">
        <v>14</v>
      </c>
      <c r="B406" t="s">
        <v>5026</v>
      </c>
      <c r="C406" t="s">
        <v>5027</v>
      </c>
      <c r="D406" t="s">
        <v>5026</v>
      </c>
      <c r="E406" t="s">
        <v>5027</v>
      </c>
      <c r="F406" t="s">
        <v>3903</v>
      </c>
      <c r="G406" t="s">
        <v>5045</v>
      </c>
    </row>
    <row r="407" spans="1:7" ht="11.25" customHeight="1">
      <c r="A407" t="s">
        <v>14</v>
      </c>
      <c r="B407" t="s">
        <v>5026</v>
      </c>
      <c r="C407" t="s">
        <v>5027</v>
      </c>
      <c r="D407" t="s">
        <v>5046</v>
      </c>
      <c r="E407" t="s">
        <v>5047</v>
      </c>
      <c r="F407" t="s">
        <v>3906</v>
      </c>
      <c r="G407" t="s">
        <v>5048</v>
      </c>
    </row>
    <row r="408" spans="1:7" ht="11.25" customHeight="1">
      <c r="A408" t="s">
        <v>14</v>
      </c>
      <c r="B408" t="s">
        <v>5026</v>
      </c>
      <c r="C408" t="s">
        <v>5027</v>
      </c>
      <c r="D408" t="s">
        <v>5049</v>
      </c>
      <c r="E408" t="s">
        <v>5050</v>
      </c>
      <c r="F408" t="s">
        <v>3906</v>
      </c>
      <c r="G408" t="s">
        <v>5051</v>
      </c>
    </row>
    <row r="409" spans="1:7" ht="11.25" customHeight="1">
      <c r="A409" t="s">
        <v>14</v>
      </c>
      <c r="B409" t="s">
        <v>5026</v>
      </c>
      <c r="C409" t="s">
        <v>5027</v>
      </c>
      <c r="D409" t="s">
        <v>5052</v>
      </c>
      <c r="E409" t="s">
        <v>5053</v>
      </c>
      <c r="F409" t="s">
        <v>3906</v>
      </c>
      <c r="G409" t="s">
        <v>5054</v>
      </c>
    </row>
    <row r="410" spans="1:7" ht="11.25" customHeight="1">
      <c r="A410" t="s">
        <v>14</v>
      </c>
      <c r="B410" t="s">
        <v>5026</v>
      </c>
      <c r="C410" t="s">
        <v>5027</v>
      </c>
      <c r="D410" t="s">
        <v>5055</v>
      </c>
      <c r="E410" t="s">
        <v>5056</v>
      </c>
      <c r="F410" t="s">
        <v>3984</v>
      </c>
      <c r="G410" t="s">
        <v>5057</v>
      </c>
    </row>
    <row r="411" spans="1:7" ht="11.25" customHeight="1">
      <c r="A411" t="s">
        <v>14</v>
      </c>
      <c r="B411" t="s">
        <v>5026</v>
      </c>
      <c r="C411" t="s">
        <v>5027</v>
      </c>
      <c r="D411" t="s">
        <v>5058</v>
      </c>
      <c r="E411" t="s">
        <v>5059</v>
      </c>
      <c r="F411" t="s">
        <v>3984</v>
      </c>
      <c r="G411" t="s">
        <v>5060</v>
      </c>
    </row>
    <row r="412" spans="1:7" ht="11.25" customHeight="1">
      <c r="A412" t="s">
        <v>14</v>
      </c>
      <c r="B412" t="s">
        <v>5026</v>
      </c>
      <c r="C412" t="s">
        <v>5027</v>
      </c>
      <c r="D412" t="s">
        <v>5061</v>
      </c>
      <c r="E412" t="s">
        <v>5062</v>
      </c>
      <c r="F412" t="s">
        <v>3984</v>
      </c>
      <c r="G412" t="s">
        <v>5063</v>
      </c>
    </row>
    <row r="413" spans="1:7" ht="11.25" customHeight="1">
      <c r="A413" t="s">
        <v>14</v>
      </c>
      <c r="B413" t="s">
        <v>5026</v>
      </c>
      <c r="C413" t="s">
        <v>5027</v>
      </c>
      <c r="D413" t="s">
        <v>4504</v>
      </c>
      <c r="E413" t="s">
        <v>5064</v>
      </c>
      <c r="F413" t="s">
        <v>3906</v>
      </c>
      <c r="G413" t="s">
        <v>5065</v>
      </c>
    </row>
    <row r="414" spans="1:7" ht="11.25" customHeight="1">
      <c r="A414" t="s">
        <v>14</v>
      </c>
      <c r="B414" t="s">
        <v>5026</v>
      </c>
      <c r="C414" t="s">
        <v>5027</v>
      </c>
      <c r="D414" t="s">
        <v>5066</v>
      </c>
      <c r="E414" t="s">
        <v>5067</v>
      </c>
      <c r="F414" t="s">
        <v>3906</v>
      </c>
      <c r="G414" t="s">
        <v>5068</v>
      </c>
    </row>
    <row r="415" spans="1:7" ht="11.25" customHeight="1">
      <c r="A415" t="s">
        <v>14</v>
      </c>
      <c r="B415" t="s">
        <v>5026</v>
      </c>
      <c r="C415" t="s">
        <v>5027</v>
      </c>
      <c r="D415" t="s">
        <v>5069</v>
      </c>
      <c r="E415" t="s">
        <v>5070</v>
      </c>
      <c r="F415" t="s">
        <v>3906</v>
      </c>
      <c r="G415" t="s">
        <v>5071</v>
      </c>
    </row>
    <row r="416" spans="1:7" ht="11.25" customHeight="1">
      <c r="A416" t="s">
        <v>14</v>
      </c>
      <c r="B416" t="s">
        <v>5026</v>
      </c>
      <c r="C416" t="s">
        <v>5027</v>
      </c>
      <c r="D416" t="s">
        <v>5072</v>
      </c>
      <c r="E416" t="s">
        <v>5073</v>
      </c>
      <c r="F416" t="s">
        <v>3906</v>
      </c>
      <c r="G416" t="s">
        <v>5074</v>
      </c>
    </row>
    <row r="417" spans="1:7" ht="11.25" customHeight="1">
      <c r="A417" t="s">
        <v>14</v>
      </c>
      <c r="B417" t="s">
        <v>5026</v>
      </c>
      <c r="C417" t="s">
        <v>5027</v>
      </c>
      <c r="D417" t="s">
        <v>5075</v>
      </c>
      <c r="E417" t="s">
        <v>5076</v>
      </c>
      <c r="F417" t="s">
        <v>3906</v>
      </c>
      <c r="G417" t="s">
        <v>5077</v>
      </c>
    </row>
    <row r="418" spans="1:7" ht="11.25" customHeight="1">
      <c r="A418" t="s">
        <v>14</v>
      </c>
      <c r="B418" t="s">
        <v>5026</v>
      </c>
      <c r="C418" t="s">
        <v>5027</v>
      </c>
      <c r="D418" t="s">
        <v>5078</v>
      </c>
      <c r="E418" t="s">
        <v>5079</v>
      </c>
      <c r="F418" t="s">
        <v>3984</v>
      </c>
      <c r="G418" t="s">
        <v>5080</v>
      </c>
    </row>
    <row r="419" spans="1:7" ht="11.25" customHeight="1">
      <c r="A419" t="s">
        <v>14</v>
      </c>
      <c r="B419" t="s">
        <v>5081</v>
      </c>
      <c r="C419" t="s">
        <v>5082</v>
      </c>
      <c r="D419" t="s">
        <v>5083</v>
      </c>
      <c r="E419" t="s">
        <v>5084</v>
      </c>
      <c r="F419" t="s">
        <v>3906</v>
      </c>
      <c r="G419" t="s">
        <v>5085</v>
      </c>
    </row>
    <row r="420" spans="1:7" ht="11.25" customHeight="1">
      <c r="A420" t="s">
        <v>14</v>
      </c>
      <c r="B420" t="s">
        <v>5081</v>
      </c>
      <c r="C420" t="s">
        <v>5082</v>
      </c>
      <c r="D420" t="s">
        <v>5086</v>
      </c>
      <c r="E420" t="s">
        <v>5087</v>
      </c>
      <c r="F420" t="s">
        <v>3906</v>
      </c>
      <c r="G420" t="s">
        <v>5088</v>
      </c>
    </row>
    <row r="421" spans="1:7" ht="11.25" customHeight="1">
      <c r="A421" t="s">
        <v>14</v>
      </c>
      <c r="B421" t="s">
        <v>5081</v>
      </c>
      <c r="C421" t="s">
        <v>5082</v>
      </c>
      <c r="D421" t="s">
        <v>5089</v>
      </c>
      <c r="E421" t="s">
        <v>5090</v>
      </c>
      <c r="F421" t="s">
        <v>3906</v>
      </c>
      <c r="G421" t="s">
        <v>5091</v>
      </c>
    </row>
    <row r="422" spans="1:7" ht="11.25" customHeight="1">
      <c r="A422" t="s">
        <v>14</v>
      </c>
      <c r="B422" t="s">
        <v>5081</v>
      </c>
      <c r="C422" t="s">
        <v>5082</v>
      </c>
      <c r="D422" t="s">
        <v>5092</v>
      </c>
      <c r="E422" t="s">
        <v>5093</v>
      </c>
      <c r="F422" t="s">
        <v>3906</v>
      </c>
      <c r="G422" t="s">
        <v>5094</v>
      </c>
    </row>
    <row r="423" spans="1:7" ht="11.25" customHeight="1">
      <c r="A423" t="s">
        <v>14</v>
      </c>
      <c r="B423" t="s">
        <v>5081</v>
      </c>
      <c r="C423" t="s">
        <v>5082</v>
      </c>
      <c r="D423" t="s">
        <v>5081</v>
      </c>
      <c r="E423" t="s">
        <v>5082</v>
      </c>
      <c r="F423" t="s">
        <v>3903</v>
      </c>
      <c r="G423" t="s">
        <v>5095</v>
      </c>
    </row>
    <row r="424" spans="1:7" ht="11.25" customHeight="1">
      <c r="A424" t="s">
        <v>14</v>
      </c>
      <c r="B424" t="s">
        <v>5081</v>
      </c>
      <c r="C424" t="s">
        <v>5082</v>
      </c>
      <c r="D424" t="s">
        <v>5096</v>
      </c>
      <c r="E424" t="s">
        <v>5097</v>
      </c>
      <c r="F424" t="s">
        <v>3906</v>
      </c>
      <c r="G424" t="s">
        <v>5098</v>
      </c>
    </row>
    <row r="425" spans="1:7" ht="11.25" customHeight="1">
      <c r="A425" t="s">
        <v>14</v>
      </c>
      <c r="B425" t="s">
        <v>5081</v>
      </c>
      <c r="C425" t="s">
        <v>5082</v>
      </c>
      <c r="D425" t="s">
        <v>5099</v>
      </c>
      <c r="E425" t="s">
        <v>5100</v>
      </c>
      <c r="F425" t="s">
        <v>3906</v>
      </c>
      <c r="G425" t="s">
        <v>5101</v>
      </c>
    </row>
    <row r="426" spans="1:7" ht="11.25" customHeight="1">
      <c r="A426" t="s">
        <v>14</v>
      </c>
      <c r="B426" t="s">
        <v>5081</v>
      </c>
      <c r="C426" t="s">
        <v>5082</v>
      </c>
      <c r="D426" t="s">
        <v>5102</v>
      </c>
      <c r="E426" t="s">
        <v>5103</v>
      </c>
      <c r="F426" t="s">
        <v>3906</v>
      </c>
      <c r="G426" t="s">
        <v>5104</v>
      </c>
    </row>
    <row r="427" spans="1:7" ht="11.25" customHeight="1">
      <c r="A427" t="s">
        <v>14</v>
      </c>
      <c r="B427" t="s">
        <v>5081</v>
      </c>
      <c r="C427" t="s">
        <v>5082</v>
      </c>
      <c r="D427" t="s">
        <v>5105</v>
      </c>
      <c r="E427" t="s">
        <v>5106</v>
      </c>
      <c r="F427" t="s">
        <v>3906</v>
      </c>
      <c r="G427" t="s">
        <v>5107</v>
      </c>
    </row>
    <row r="428" spans="1:7" ht="11.25" customHeight="1">
      <c r="A428" t="s">
        <v>14</v>
      </c>
      <c r="B428" t="s">
        <v>5108</v>
      </c>
      <c r="C428" t="s">
        <v>5109</v>
      </c>
      <c r="D428" t="s">
        <v>5110</v>
      </c>
      <c r="E428" t="s">
        <v>5111</v>
      </c>
      <c r="F428" t="s">
        <v>3906</v>
      </c>
      <c r="G428" t="s">
        <v>5112</v>
      </c>
    </row>
    <row r="429" spans="1:7" ht="11.25" customHeight="1">
      <c r="A429" t="s">
        <v>14</v>
      </c>
      <c r="B429" t="s">
        <v>5108</v>
      </c>
      <c r="C429" t="s">
        <v>5109</v>
      </c>
      <c r="D429" t="s">
        <v>5113</v>
      </c>
      <c r="E429" t="s">
        <v>5114</v>
      </c>
      <c r="F429" t="s">
        <v>3906</v>
      </c>
      <c r="G429" t="s">
        <v>5115</v>
      </c>
    </row>
    <row r="430" spans="1:7" ht="11.25" customHeight="1">
      <c r="A430" t="s">
        <v>14</v>
      </c>
      <c r="B430" t="s">
        <v>5108</v>
      </c>
      <c r="C430" t="s">
        <v>5109</v>
      </c>
      <c r="D430" t="s">
        <v>5033</v>
      </c>
      <c r="E430" t="s">
        <v>5116</v>
      </c>
      <c r="F430" t="s">
        <v>3906</v>
      </c>
      <c r="G430" t="s">
        <v>5117</v>
      </c>
    </row>
    <row r="431" spans="1:7" ht="11.25" customHeight="1">
      <c r="A431" t="s">
        <v>14</v>
      </c>
      <c r="B431" t="s">
        <v>5108</v>
      </c>
      <c r="C431" t="s">
        <v>5109</v>
      </c>
      <c r="D431" t="s">
        <v>5118</v>
      </c>
      <c r="E431" t="s">
        <v>5119</v>
      </c>
      <c r="F431" t="s">
        <v>3906</v>
      </c>
      <c r="G431" t="s">
        <v>5120</v>
      </c>
    </row>
    <row r="432" spans="1:7" ht="11.25" customHeight="1">
      <c r="A432" t="s">
        <v>14</v>
      </c>
      <c r="B432" t="s">
        <v>5108</v>
      </c>
      <c r="C432" t="s">
        <v>5109</v>
      </c>
      <c r="D432" t="s">
        <v>5121</v>
      </c>
      <c r="E432" t="s">
        <v>5122</v>
      </c>
      <c r="F432" t="s">
        <v>3906</v>
      </c>
      <c r="G432" t="s">
        <v>5123</v>
      </c>
    </row>
    <row r="433" spans="1:7" ht="11.25" customHeight="1">
      <c r="A433" t="s">
        <v>14</v>
      </c>
      <c r="B433" t="s">
        <v>5108</v>
      </c>
      <c r="C433" t="s">
        <v>5109</v>
      </c>
      <c r="D433" t="s">
        <v>5124</v>
      </c>
      <c r="E433" t="s">
        <v>5125</v>
      </c>
      <c r="F433" t="s">
        <v>3906</v>
      </c>
      <c r="G433" t="s">
        <v>5126</v>
      </c>
    </row>
    <row r="434" spans="1:7" ht="11.25" customHeight="1">
      <c r="A434" t="s">
        <v>14</v>
      </c>
      <c r="B434" t="s">
        <v>5108</v>
      </c>
      <c r="C434" t="s">
        <v>5109</v>
      </c>
      <c r="D434" t="s">
        <v>5127</v>
      </c>
      <c r="E434" t="s">
        <v>5128</v>
      </c>
      <c r="F434" t="s">
        <v>3906</v>
      </c>
      <c r="G434" t="s">
        <v>5129</v>
      </c>
    </row>
    <row r="435" spans="1:7" ht="11.25" customHeight="1">
      <c r="A435" t="s">
        <v>14</v>
      </c>
      <c r="B435" t="s">
        <v>5108</v>
      </c>
      <c r="C435" t="s">
        <v>5109</v>
      </c>
      <c r="D435" t="s">
        <v>5108</v>
      </c>
      <c r="E435" t="s">
        <v>5109</v>
      </c>
      <c r="F435" t="s">
        <v>3903</v>
      </c>
      <c r="G435" t="s">
        <v>5130</v>
      </c>
    </row>
    <row r="436" spans="1:7" ht="11.25" customHeight="1">
      <c r="A436" t="s">
        <v>14</v>
      </c>
      <c r="B436" t="s">
        <v>5108</v>
      </c>
      <c r="C436" t="s">
        <v>5109</v>
      </c>
      <c r="D436" t="s">
        <v>4973</v>
      </c>
      <c r="E436" t="s">
        <v>5131</v>
      </c>
      <c r="F436" t="s">
        <v>3906</v>
      </c>
      <c r="G436" t="s">
        <v>5132</v>
      </c>
    </row>
    <row r="437" spans="1:7" ht="11.25" customHeight="1">
      <c r="A437" t="s">
        <v>14</v>
      </c>
      <c r="B437" t="s">
        <v>5108</v>
      </c>
      <c r="C437" t="s">
        <v>5109</v>
      </c>
      <c r="D437" t="s">
        <v>5133</v>
      </c>
      <c r="E437" t="s">
        <v>5134</v>
      </c>
      <c r="F437" t="s">
        <v>3906</v>
      </c>
      <c r="G437" t="s">
        <v>5135</v>
      </c>
    </row>
    <row r="438" spans="1:7" ht="11.25" customHeight="1">
      <c r="A438" t="s">
        <v>14</v>
      </c>
      <c r="B438" t="s">
        <v>5136</v>
      </c>
      <c r="C438" t="s">
        <v>5137</v>
      </c>
      <c r="D438" t="s">
        <v>5136</v>
      </c>
      <c r="E438" t="s">
        <v>5137</v>
      </c>
      <c r="F438" t="s">
        <v>5138</v>
      </c>
      <c r="G438" t="s">
        <v>5139</v>
      </c>
    </row>
    <row r="439" spans="1:7" ht="11.25" customHeight="1">
      <c r="A439" t="s">
        <v>14</v>
      </c>
      <c r="B439" t="s">
        <v>5140</v>
      </c>
      <c r="C439" t="s">
        <v>5141</v>
      </c>
      <c r="D439" t="s">
        <v>5142</v>
      </c>
      <c r="E439" t="s">
        <v>5143</v>
      </c>
      <c r="F439" t="s">
        <v>3906</v>
      </c>
      <c r="G439" t="s">
        <v>5144</v>
      </c>
    </row>
    <row r="440" spans="1:7" ht="11.25" customHeight="1">
      <c r="A440" t="s">
        <v>14</v>
      </c>
      <c r="B440" t="s">
        <v>5140</v>
      </c>
      <c r="C440" t="s">
        <v>5141</v>
      </c>
      <c r="D440" t="s">
        <v>5145</v>
      </c>
      <c r="E440" t="s">
        <v>5146</v>
      </c>
      <c r="F440" t="s">
        <v>3906</v>
      </c>
      <c r="G440" t="s">
        <v>5147</v>
      </c>
    </row>
    <row r="441" spans="1:7" ht="11.25" customHeight="1">
      <c r="A441" t="s">
        <v>14</v>
      </c>
      <c r="B441" t="s">
        <v>5140</v>
      </c>
      <c r="C441" t="s">
        <v>5141</v>
      </c>
      <c r="D441" t="s">
        <v>5148</v>
      </c>
      <c r="E441" t="s">
        <v>5149</v>
      </c>
      <c r="F441" t="s">
        <v>3906</v>
      </c>
      <c r="G441" t="s">
        <v>5150</v>
      </c>
    </row>
    <row r="442" spans="1:7" ht="11.25" customHeight="1">
      <c r="A442" t="s">
        <v>14</v>
      </c>
      <c r="B442" t="s">
        <v>5140</v>
      </c>
      <c r="C442" t="s">
        <v>5141</v>
      </c>
      <c r="D442" t="s">
        <v>5151</v>
      </c>
      <c r="E442" t="s">
        <v>5152</v>
      </c>
      <c r="F442" t="s">
        <v>3906</v>
      </c>
      <c r="G442" t="s">
        <v>5153</v>
      </c>
    </row>
    <row r="443" spans="1:7" ht="11.25" customHeight="1">
      <c r="A443" t="s">
        <v>14</v>
      </c>
      <c r="B443" t="s">
        <v>5140</v>
      </c>
      <c r="C443" t="s">
        <v>5141</v>
      </c>
      <c r="D443" t="s">
        <v>5154</v>
      </c>
      <c r="E443" t="s">
        <v>5155</v>
      </c>
      <c r="F443" t="s">
        <v>3906</v>
      </c>
      <c r="G443" t="s">
        <v>5156</v>
      </c>
    </row>
    <row r="444" spans="1:7" ht="11.25" customHeight="1">
      <c r="A444" t="s">
        <v>14</v>
      </c>
      <c r="B444" t="s">
        <v>5140</v>
      </c>
      <c r="C444" t="s">
        <v>5141</v>
      </c>
      <c r="D444" t="s">
        <v>5157</v>
      </c>
      <c r="E444" t="s">
        <v>5158</v>
      </c>
      <c r="F444" t="s">
        <v>3906</v>
      </c>
      <c r="G444" t="s">
        <v>5159</v>
      </c>
    </row>
    <row r="445" spans="1:7" ht="11.25" customHeight="1">
      <c r="A445" t="s">
        <v>14</v>
      </c>
      <c r="B445" t="s">
        <v>5140</v>
      </c>
      <c r="C445" t="s">
        <v>5141</v>
      </c>
      <c r="D445" t="s">
        <v>5140</v>
      </c>
      <c r="E445" t="s">
        <v>5141</v>
      </c>
      <c r="F445" t="s">
        <v>3903</v>
      </c>
      <c r="G445" t="s">
        <v>5160</v>
      </c>
    </row>
    <row r="446" spans="1:7" ht="11.25" customHeight="1">
      <c r="A446" t="s">
        <v>14</v>
      </c>
      <c r="B446" t="s">
        <v>5140</v>
      </c>
      <c r="C446" t="s">
        <v>5141</v>
      </c>
      <c r="D446" t="s">
        <v>5161</v>
      </c>
      <c r="E446" t="s">
        <v>5162</v>
      </c>
      <c r="F446" t="s">
        <v>3906</v>
      </c>
      <c r="G446" t="s">
        <v>5163</v>
      </c>
    </row>
    <row r="447" spans="1:7" ht="11.25" customHeight="1">
      <c r="A447" t="s">
        <v>14</v>
      </c>
      <c r="B447" t="s">
        <v>5140</v>
      </c>
      <c r="C447" t="s">
        <v>5141</v>
      </c>
      <c r="D447" t="s">
        <v>5164</v>
      </c>
      <c r="E447" t="s">
        <v>5165</v>
      </c>
      <c r="F447" t="s">
        <v>3906</v>
      </c>
      <c r="G447" t="s">
        <v>5166</v>
      </c>
    </row>
    <row r="448" spans="1:7" ht="11.25" customHeight="1">
      <c r="A448" t="s">
        <v>14</v>
      </c>
      <c r="B448" t="s">
        <v>5140</v>
      </c>
      <c r="C448" t="s">
        <v>5141</v>
      </c>
      <c r="D448" t="s">
        <v>5167</v>
      </c>
      <c r="E448" t="s">
        <v>5168</v>
      </c>
      <c r="F448" t="s">
        <v>3906</v>
      </c>
      <c r="G448" t="s">
        <v>5169</v>
      </c>
    </row>
    <row r="449" spans="1:7" ht="11.25" customHeight="1">
      <c r="A449" t="s">
        <v>14</v>
      </c>
      <c r="B449" t="s">
        <v>5140</v>
      </c>
      <c r="C449" t="s">
        <v>5141</v>
      </c>
      <c r="D449" t="s">
        <v>5170</v>
      </c>
      <c r="E449" t="s">
        <v>5171</v>
      </c>
      <c r="F449" t="s">
        <v>3906</v>
      </c>
      <c r="G449" t="s">
        <v>5172</v>
      </c>
    </row>
    <row r="450" spans="1:7" ht="11.25" customHeight="1">
      <c r="A450" t="s">
        <v>14</v>
      </c>
      <c r="B450" t="s">
        <v>5173</v>
      </c>
      <c r="C450" t="s">
        <v>5174</v>
      </c>
      <c r="D450" t="s">
        <v>5173</v>
      </c>
      <c r="E450" t="s">
        <v>5174</v>
      </c>
      <c r="F450" t="s">
        <v>4182</v>
      </c>
      <c r="G450" t="s">
        <v>5175</v>
      </c>
    </row>
    <row r="451" spans="1:7" ht="11.25" customHeight="1">
      <c r="A451" t="s">
        <v>14</v>
      </c>
      <c r="B451" t="s">
        <v>5176</v>
      </c>
      <c r="C451" t="s">
        <v>5177</v>
      </c>
      <c r="D451" t="s">
        <v>4026</v>
      </c>
      <c r="E451" t="s">
        <v>5178</v>
      </c>
      <c r="F451" t="s">
        <v>3906</v>
      </c>
      <c r="G451" t="s">
        <v>5179</v>
      </c>
    </row>
    <row r="452" spans="1:7" ht="11.25" customHeight="1">
      <c r="A452" t="s">
        <v>14</v>
      </c>
      <c r="B452" t="s">
        <v>5176</v>
      </c>
      <c r="C452" t="s">
        <v>5177</v>
      </c>
      <c r="D452" t="s">
        <v>5180</v>
      </c>
      <c r="E452" t="s">
        <v>5181</v>
      </c>
      <c r="F452" t="s">
        <v>3906</v>
      </c>
      <c r="G452" t="s">
        <v>5182</v>
      </c>
    </row>
    <row r="453" spans="1:7" ht="11.25" customHeight="1">
      <c r="A453" t="s">
        <v>14</v>
      </c>
      <c r="B453" t="s">
        <v>5176</v>
      </c>
      <c r="C453" t="s">
        <v>5177</v>
      </c>
      <c r="D453" t="s">
        <v>5183</v>
      </c>
      <c r="E453" t="s">
        <v>5184</v>
      </c>
      <c r="F453" t="s">
        <v>3906</v>
      </c>
      <c r="G453" t="s">
        <v>5185</v>
      </c>
    </row>
    <row r="454" spans="1:7" ht="11.25" customHeight="1">
      <c r="A454" t="s">
        <v>14</v>
      </c>
      <c r="B454" t="s">
        <v>5176</v>
      </c>
      <c r="C454" t="s">
        <v>5177</v>
      </c>
      <c r="D454" t="s">
        <v>5186</v>
      </c>
      <c r="E454" t="s">
        <v>5187</v>
      </c>
      <c r="F454" t="s">
        <v>4512</v>
      </c>
      <c r="G454" t="s">
        <v>5188</v>
      </c>
    </row>
    <row r="455" spans="1:7" ht="11.25" customHeight="1">
      <c r="A455" t="s">
        <v>14</v>
      </c>
      <c r="B455" t="s">
        <v>5176</v>
      </c>
      <c r="C455" t="s">
        <v>5177</v>
      </c>
      <c r="D455" t="s">
        <v>5189</v>
      </c>
      <c r="E455" t="s">
        <v>5190</v>
      </c>
      <c r="F455" t="s">
        <v>3906</v>
      </c>
      <c r="G455" t="s">
        <v>5191</v>
      </c>
    </row>
    <row r="456" spans="1:7" ht="11.25" customHeight="1">
      <c r="A456" t="s">
        <v>14</v>
      </c>
      <c r="B456" t="s">
        <v>5176</v>
      </c>
      <c r="C456" t="s">
        <v>5177</v>
      </c>
      <c r="D456" t="s">
        <v>4067</v>
      </c>
      <c r="E456" t="s">
        <v>5192</v>
      </c>
      <c r="F456" t="s">
        <v>3906</v>
      </c>
      <c r="G456" t="s">
        <v>5193</v>
      </c>
    </row>
    <row r="457" spans="1:7" ht="11.25" customHeight="1">
      <c r="A457" t="s">
        <v>14</v>
      </c>
      <c r="B457" t="s">
        <v>5176</v>
      </c>
      <c r="C457" t="s">
        <v>5177</v>
      </c>
      <c r="D457" t="s">
        <v>5194</v>
      </c>
      <c r="E457" t="s">
        <v>5195</v>
      </c>
      <c r="F457" t="s">
        <v>3906</v>
      </c>
      <c r="G457" t="s">
        <v>5196</v>
      </c>
    </row>
    <row r="458" spans="1:7" ht="11.25" customHeight="1">
      <c r="A458" t="s">
        <v>14</v>
      </c>
      <c r="B458" t="s">
        <v>5176</v>
      </c>
      <c r="C458" t="s">
        <v>5177</v>
      </c>
      <c r="D458" t="s">
        <v>5197</v>
      </c>
      <c r="E458" t="s">
        <v>5198</v>
      </c>
      <c r="F458" t="s">
        <v>3906</v>
      </c>
      <c r="G458" t="s">
        <v>5199</v>
      </c>
    </row>
    <row r="459" spans="1:7" ht="11.25" customHeight="1">
      <c r="A459" t="s">
        <v>14</v>
      </c>
      <c r="B459" t="s">
        <v>5176</v>
      </c>
      <c r="C459" t="s">
        <v>5177</v>
      </c>
      <c r="D459" t="s">
        <v>5200</v>
      </c>
      <c r="E459" t="s">
        <v>5201</v>
      </c>
      <c r="F459" t="s">
        <v>3906</v>
      </c>
      <c r="G459" t="s">
        <v>5202</v>
      </c>
    </row>
    <row r="460" spans="1:7" ht="11.25" customHeight="1">
      <c r="A460" t="s">
        <v>14</v>
      </c>
      <c r="B460" t="s">
        <v>5176</v>
      </c>
      <c r="C460" t="s">
        <v>5177</v>
      </c>
      <c r="D460" t="s">
        <v>5203</v>
      </c>
      <c r="E460" t="s">
        <v>5204</v>
      </c>
      <c r="F460" t="s">
        <v>3906</v>
      </c>
      <c r="G460" t="s">
        <v>5205</v>
      </c>
    </row>
    <row r="461" spans="1:7" ht="11.25" customHeight="1">
      <c r="A461" t="s">
        <v>14</v>
      </c>
      <c r="B461" t="s">
        <v>5176</v>
      </c>
      <c r="C461" t="s">
        <v>5177</v>
      </c>
      <c r="D461" t="s">
        <v>5206</v>
      </c>
      <c r="E461" t="s">
        <v>5207</v>
      </c>
      <c r="F461" t="s">
        <v>3906</v>
      </c>
      <c r="G461" t="s">
        <v>5208</v>
      </c>
    </row>
    <row r="462" spans="1:7" ht="11.25" customHeight="1">
      <c r="A462" t="s">
        <v>14</v>
      </c>
      <c r="B462" t="s">
        <v>5176</v>
      </c>
      <c r="C462" t="s">
        <v>5177</v>
      </c>
      <c r="D462" t="s">
        <v>5209</v>
      </c>
      <c r="E462" t="s">
        <v>5210</v>
      </c>
      <c r="F462" t="s">
        <v>3906</v>
      </c>
      <c r="G462" t="s">
        <v>5211</v>
      </c>
    </row>
    <row r="463" spans="1:7" ht="11.25" customHeight="1">
      <c r="A463" t="s">
        <v>14</v>
      </c>
      <c r="B463" t="s">
        <v>5176</v>
      </c>
      <c r="C463" t="s">
        <v>5177</v>
      </c>
      <c r="D463" t="s">
        <v>5212</v>
      </c>
      <c r="E463" t="s">
        <v>5213</v>
      </c>
      <c r="F463" t="s">
        <v>3984</v>
      </c>
      <c r="G463" t="s">
        <v>5214</v>
      </c>
    </row>
    <row r="464" spans="1:7" ht="11.25" customHeight="1">
      <c r="A464" t="s">
        <v>14</v>
      </c>
      <c r="B464" t="s">
        <v>5176</v>
      </c>
      <c r="C464" t="s">
        <v>5177</v>
      </c>
      <c r="D464" t="s">
        <v>5215</v>
      </c>
      <c r="E464" t="s">
        <v>5216</v>
      </c>
      <c r="F464" t="s">
        <v>3984</v>
      </c>
      <c r="G464" t="s">
        <v>5217</v>
      </c>
    </row>
    <row r="465" spans="1:7" ht="11.25" customHeight="1">
      <c r="A465" t="s">
        <v>14</v>
      </c>
      <c r="B465" t="s">
        <v>5176</v>
      </c>
      <c r="C465" t="s">
        <v>5177</v>
      </c>
      <c r="D465" t="s">
        <v>5176</v>
      </c>
      <c r="E465" t="s">
        <v>5177</v>
      </c>
      <c r="F465" t="s">
        <v>3903</v>
      </c>
      <c r="G465" t="s">
        <v>5218</v>
      </c>
    </row>
    <row r="466" spans="1:7" ht="11.25" customHeight="1">
      <c r="A466" t="s">
        <v>14</v>
      </c>
      <c r="B466" t="s">
        <v>5176</v>
      </c>
      <c r="C466" t="s">
        <v>5177</v>
      </c>
      <c r="D466" t="s">
        <v>5219</v>
      </c>
      <c r="E466" t="s">
        <v>5220</v>
      </c>
      <c r="F466" t="s">
        <v>3906</v>
      </c>
      <c r="G466" t="s">
        <v>5221</v>
      </c>
    </row>
    <row r="467" spans="1:7" ht="11.25" customHeight="1">
      <c r="A467" t="s">
        <v>14</v>
      </c>
      <c r="B467" t="s">
        <v>5176</v>
      </c>
      <c r="C467" t="s">
        <v>5177</v>
      </c>
      <c r="D467" t="s">
        <v>5222</v>
      </c>
      <c r="E467" t="s">
        <v>5223</v>
      </c>
      <c r="F467" t="s">
        <v>3906</v>
      </c>
      <c r="G467" t="s">
        <v>5224</v>
      </c>
    </row>
    <row r="468" spans="1:7" ht="11.25" customHeight="1">
      <c r="A468" t="s">
        <v>14</v>
      </c>
      <c r="B468" t="s">
        <v>5176</v>
      </c>
      <c r="C468" t="s">
        <v>5177</v>
      </c>
      <c r="D468" t="s">
        <v>4553</v>
      </c>
      <c r="E468" t="s">
        <v>5225</v>
      </c>
      <c r="F468" t="s">
        <v>3906</v>
      </c>
      <c r="G468" t="s">
        <v>5226</v>
      </c>
    </row>
    <row r="469" spans="1:7" ht="11.25" customHeight="1">
      <c r="A469" t="s">
        <v>14</v>
      </c>
      <c r="B469" t="s">
        <v>5176</v>
      </c>
      <c r="C469" t="s">
        <v>5177</v>
      </c>
      <c r="D469" t="s">
        <v>5227</v>
      </c>
      <c r="E469" t="s">
        <v>5228</v>
      </c>
      <c r="F469" t="s">
        <v>3984</v>
      </c>
      <c r="G469" t="s">
        <v>5229</v>
      </c>
    </row>
    <row r="470" spans="1:7" ht="11.25" customHeight="1">
      <c r="A470" t="s">
        <v>14</v>
      </c>
      <c r="B470" t="s">
        <v>5230</v>
      </c>
      <c r="C470" t="s">
        <v>5231</v>
      </c>
      <c r="D470" t="s">
        <v>5232</v>
      </c>
      <c r="E470" t="s">
        <v>5233</v>
      </c>
      <c r="F470" t="s">
        <v>3906</v>
      </c>
      <c r="G470" t="s">
        <v>5234</v>
      </c>
    </row>
    <row r="471" spans="1:7" ht="11.25" customHeight="1">
      <c r="A471" t="s">
        <v>14</v>
      </c>
      <c r="B471" t="s">
        <v>5230</v>
      </c>
      <c r="C471" t="s">
        <v>5231</v>
      </c>
      <c r="D471" t="s">
        <v>5235</v>
      </c>
      <c r="E471" t="s">
        <v>5236</v>
      </c>
      <c r="F471" t="s">
        <v>3906</v>
      </c>
      <c r="G471" t="s">
        <v>5237</v>
      </c>
    </row>
    <row r="472" spans="1:7" ht="11.25" customHeight="1">
      <c r="A472" t="s">
        <v>14</v>
      </c>
      <c r="B472" t="s">
        <v>5230</v>
      </c>
      <c r="C472" t="s">
        <v>5231</v>
      </c>
      <c r="D472" t="s">
        <v>5238</v>
      </c>
      <c r="E472" t="s">
        <v>5239</v>
      </c>
      <c r="F472" t="s">
        <v>3906</v>
      </c>
      <c r="G472" t="s">
        <v>5240</v>
      </c>
    </row>
    <row r="473" spans="1:7" ht="11.25" customHeight="1">
      <c r="A473" t="s">
        <v>14</v>
      </c>
      <c r="B473" t="s">
        <v>5230</v>
      </c>
      <c r="C473" t="s">
        <v>5231</v>
      </c>
      <c r="D473" t="s">
        <v>3911</v>
      </c>
      <c r="E473" t="s">
        <v>5241</v>
      </c>
      <c r="F473" t="s">
        <v>3906</v>
      </c>
      <c r="G473" t="s">
        <v>5242</v>
      </c>
    </row>
    <row r="474" spans="1:7" ht="11.25" customHeight="1">
      <c r="A474" t="s">
        <v>14</v>
      </c>
      <c r="B474" t="s">
        <v>5230</v>
      </c>
      <c r="C474" t="s">
        <v>5231</v>
      </c>
      <c r="D474" t="s">
        <v>5243</v>
      </c>
      <c r="E474" t="s">
        <v>5244</v>
      </c>
      <c r="F474" t="s">
        <v>3906</v>
      </c>
      <c r="G474" t="s">
        <v>5245</v>
      </c>
    </row>
    <row r="475" spans="1:7" ht="11.25" customHeight="1">
      <c r="A475" t="s">
        <v>14</v>
      </c>
      <c r="B475" t="s">
        <v>5230</v>
      </c>
      <c r="C475" t="s">
        <v>5231</v>
      </c>
      <c r="D475" t="s">
        <v>5246</v>
      </c>
      <c r="E475" t="s">
        <v>5247</v>
      </c>
      <c r="F475" t="s">
        <v>3906</v>
      </c>
      <c r="G475" t="s">
        <v>5248</v>
      </c>
    </row>
    <row r="476" spans="1:7" ht="11.25" customHeight="1">
      <c r="A476" t="s">
        <v>14</v>
      </c>
      <c r="B476" t="s">
        <v>5230</v>
      </c>
      <c r="C476" t="s">
        <v>5231</v>
      </c>
      <c r="D476" t="s">
        <v>5249</v>
      </c>
      <c r="E476" t="s">
        <v>5250</v>
      </c>
      <c r="F476" t="s">
        <v>3906</v>
      </c>
      <c r="G476" t="s">
        <v>5251</v>
      </c>
    </row>
    <row r="477" spans="1:7" ht="11.25" customHeight="1">
      <c r="A477" t="s">
        <v>14</v>
      </c>
      <c r="B477" t="s">
        <v>5230</v>
      </c>
      <c r="C477" t="s">
        <v>5231</v>
      </c>
      <c r="D477" t="s">
        <v>5252</v>
      </c>
      <c r="E477" t="s">
        <v>5253</v>
      </c>
      <c r="F477" t="s">
        <v>3906</v>
      </c>
      <c r="G477" t="s">
        <v>5254</v>
      </c>
    </row>
    <row r="478" spans="1:7" ht="11.25" customHeight="1">
      <c r="A478" t="s">
        <v>14</v>
      </c>
      <c r="B478" t="s">
        <v>5230</v>
      </c>
      <c r="C478" t="s">
        <v>5231</v>
      </c>
      <c r="D478" t="s">
        <v>5255</v>
      </c>
      <c r="E478" t="s">
        <v>5256</v>
      </c>
      <c r="F478" t="s">
        <v>3906</v>
      </c>
      <c r="G478" t="s">
        <v>5257</v>
      </c>
    </row>
    <row r="479" spans="1:7" ht="11.25" customHeight="1">
      <c r="A479" t="s">
        <v>14</v>
      </c>
      <c r="B479" t="s">
        <v>5230</v>
      </c>
      <c r="C479" t="s">
        <v>5231</v>
      </c>
      <c r="D479" t="s">
        <v>5258</v>
      </c>
      <c r="E479" t="s">
        <v>5259</v>
      </c>
      <c r="F479" t="s">
        <v>3906</v>
      </c>
      <c r="G479" t="s">
        <v>5260</v>
      </c>
    </row>
    <row r="480" spans="1:7" ht="11.25" customHeight="1">
      <c r="A480" t="s">
        <v>14</v>
      </c>
      <c r="B480" t="s">
        <v>5230</v>
      </c>
      <c r="C480" t="s">
        <v>5231</v>
      </c>
      <c r="D480" t="s">
        <v>5230</v>
      </c>
      <c r="E480" t="s">
        <v>5231</v>
      </c>
      <c r="F480" t="s">
        <v>3903</v>
      </c>
      <c r="G480" t="s">
        <v>5261</v>
      </c>
    </row>
    <row r="481" spans="1:7" ht="11.25" customHeight="1">
      <c r="A481" t="s">
        <v>14</v>
      </c>
      <c r="B481" t="s">
        <v>5230</v>
      </c>
      <c r="C481" t="s">
        <v>5231</v>
      </c>
      <c r="D481" t="s">
        <v>5262</v>
      </c>
      <c r="E481" t="s">
        <v>5263</v>
      </c>
      <c r="F481" t="s">
        <v>3906</v>
      </c>
      <c r="G481" t="s">
        <v>5264</v>
      </c>
    </row>
    <row r="482" spans="1:7" ht="11.25" customHeight="1">
      <c r="A482" t="s">
        <v>14</v>
      </c>
      <c r="B482" t="s">
        <v>5230</v>
      </c>
      <c r="C482" t="s">
        <v>5231</v>
      </c>
      <c r="D482" t="s">
        <v>5265</v>
      </c>
      <c r="E482" t="s">
        <v>5266</v>
      </c>
      <c r="F482" t="s">
        <v>3906</v>
      </c>
      <c r="G482" t="s">
        <v>5267</v>
      </c>
    </row>
    <row r="483" spans="1:7" ht="11.25" customHeight="1">
      <c r="A483" t="s">
        <v>14</v>
      </c>
      <c r="B483" t="s">
        <v>5230</v>
      </c>
      <c r="C483" t="s">
        <v>5231</v>
      </c>
      <c r="D483" t="s">
        <v>5268</v>
      </c>
      <c r="E483" t="s">
        <v>5269</v>
      </c>
      <c r="F483" t="s">
        <v>3906</v>
      </c>
      <c r="G483" t="s">
        <v>5270</v>
      </c>
    </row>
    <row r="484" spans="1:7" ht="11.25" customHeight="1">
      <c r="A484" t="s">
        <v>14</v>
      </c>
      <c r="B484" t="s">
        <v>5230</v>
      </c>
      <c r="C484" t="s">
        <v>5231</v>
      </c>
      <c r="D484" t="s">
        <v>5271</v>
      </c>
      <c r="E484" t="s">
        <v>5272</v>
      </c>
      <c r="F484" t="s">
        <v>3906</v>
      </c>
      <c r="G484" t="s">
        <v>5273</v>
      </c>
    </row>
    <row r="485" spans="1:7" ht="11.25" customHeight="1">
      <c r="A485" t="s">
        <v>14</v>
      </c>
      <c r="B485" t="s">
        <v>5274</v>
      </c>
      <c r="C485" t="s">
        <v>5275</v>
      </c>
      <c r="D485" t="s">
        <v>5274</v>
      </c>
      <c r="E485" t="s">
        <v>5275</v>
      </c>
      <c r="F485" t="s">
        <v>3903</v>
      </c>
      <c r="G485" t="s">
        <v>5276</v>
      </c>
    </row>
    <row r="486" spans="1:7" ht="11.25" customHeight="1">
      <c r="A486" t="s">
        <v>14</v>
      </c>
      <c r="B486" t="s">
        <v>5277</v>
      </c>
      <c r="C486" t="s">
        <v>5278</v>
      </c>
      <c r="D486" t="s">
        <v>5279</v>
      </c>
      <c r="E486" t="s">
        <v>5280</v>
      </c>
      <c r="F486" t="s">
        <v>3906</v>
      </c>
      <c r="G486" t="s">
        <v>5281</v>
      </c>
    </row>
    <row r="487" spans="1:7" ht="11.25" customHeight="1">
      <c r="A487" t="s">
        <v>14</v>
      </c>
      <c r="B487" t="s">
        <v>5277</v>
      </c>
      <c r="C487" t="s">
        <v>5278</v>
      </c>
      <c r="D487" t="s">
        <v>5282</v>
      </c>
      <c r="E487" t="s">
        <v>5283</v>
      </c>
      <c r="F487" t="s">
        <v>3906</v>
      </c>
      <c r="G487" t="s">
        <v>5284</v>
      </c>
    </row>
    <row r="488" spans="1:7" ht="11.25" customHeight="1">
      <c r="A488" t="s">
        <v>14</v>
      </c>
      <c r="B488" t="s">
        <v>5277</v>
      </c>
      <c r="C488" t="s">
        <v>5278</v>
      </c>
      <c r="D488" t="s">
        <v>5285</v>
      </c>
      <c r="E488" t="s">
        <v>5286</v>
      </c>
      <c r="F488" t="s">
        <v>3906</v>
      </c>
      <c r="G488" t="s">
        <v>5287</v>
      </c>
    </row>
    <row r="489" spans="1:7" ht="11.25" customHeight="1">
      <c r="A489" t="s">
        <v>14</v>
      </c>
      <c r="B489" t="s">
        <v>5277</v>
      </c>
      <c r="C489" t="s">
        <v>5278</v>
      </c>
      <c r="D489" t="s">
        <v>5288</v>
      </c>
      <c r="E489" t="s">
        <v>5289</v>
      </c>
      <c r="F489" t="s">
        <v>3906</v>
      </c>
      <c r="G489" t="s">
        <v>5290</v>
      </c>
    </row>
    <row r="490" spans="1:7" ht="11.25" customHeight="1">
      <c r="A490" t="s">
        <v>14</v>
      </c>
      <c r="B490" t="s">
        <v>5277</v>
      </c>
      <c r="C490" t="s">
        <v>5278</v>
      </c>
      <c r="D490" t="s">
        <v>5291</v>
      </c>
      <c r="E490" t="s">
        <v>5292</v>
      </c>
      <c r="F490" t="s">
        <v>3906</v>
      </c>
      <c r="G490" t="s">
        <v>5293</v>
      </c>
    </row>
    <row r="491" spans="1:7" ht="11.25" customHeight="1">
      <c r="A491" t="s">
        <v>14</v>
      </c>
      <c r="B491" t="s">
        <v>5277</v>
      </c>
      <c r="C491" t="s">
        <v>5278</v>
      </c>
      <c r="D491" t="s">
        <v>5294</v>
      </c>
      <c r="E491" t="s">
        <v>5295</v>
      </c>
      <c r="F491" t="s">
        <v>3906</v>
      </c>
      <c r="G491" t="s">
        <v>5296</v>
      </c>
    </row>
    <row r="492" spans="1:7" ht="11.25" customHeight="1">
      <c r="A492" t="s">
        <v>14</v>
      </c>
      <c r="B492" t="s">
        <v>5277</v>
      </c>
      <c r="C492" t="s">
        <v>5278</v>
      </c>
      <c r="D492" t="s">
        <v>5297</v>
      </c>
      <c r="E492" t="s">
        <v>5298</v>
      </c>
      <c r="F492" t="s">
        <v>3906</v>
      </c>
      <c r="G492" t="s">
        <v>5299</v>
      </c>
    </row>
    <row r="493" spans="1:7" ht="11.25" customHeight="1">
      <c r="A493" t="s">
        <v>14</v>
      </c>
      <c r="B493" t="s">
        <v>5277</v>
      </c>
      <c r="C493" t="s">
        <v>5278</v>
      </c>
      <c r="D493" t="s">
        <v>5277</v>
      </c>
      <c r="E493" t="s">
        <v>5278</v>
      </c>
      <c r="F493" t="s">
        <v>3903</v>
      </c>
      <c r="G493" t="s">
        <v>5300</v>
      </c>
    </row>
    <row r="494" spans="1:7" ht="11.25" customHeight="1">
      <c r="A494" t="s">
        <v>14</v>
      </c>
      <c r="B494" t="s">
        <v>5277</v>
      </c>
      <c r="C494" t="s">
        <v>5278</v>
      </c>
      <c r="D494" t="s">
        <v>5301</v>
      </c>
      <c r="E494" t="s">
        <v>5302</v>
      </c>
      <c r="F494" t="s">
        <v>3906</v>
      </c>
      <c r="G494" t="s">
        <v>5303</v>
      </c>
    </row>
    <row r="495" spans="1:7" ht="11.25" customHeight="1">
      <c r="A495" t="s">
        <v>14</v>
      </c>
      <c r="B495" t="s">
        <v>5277</v>
      </c>
      <c r="C495" t="s">
        <v>5278</v>
      </c>
      <c r="D495" t="s">
        <v>5304</v>
      </c>
      <c r="E495" t="s">
        <v>5305</v>
      </c>
      <c r="F495" t="s">
        <v>3906</v>
      </c>
      <c r="G495" t="s">
        <v>5306</v>
      </c>
    </row>
    <row r="496" spans="1:7" ht="11.25" customHeight="1">
      <c r="A496" t="s">
        <v>14</v>
      </c>
      <c r="B496" t="s">
        <v>5307</v>
      </c>
      <c r="C496" t="s">
        <v>5308</v>
      </c>
      <c r="D496" t="s">
        <v>5309</v>
      </c>
      <c r="E496" t="s">
        <v>5310</v>
      </c>
      <c r="F496" t="s">
        <v>3984</v>
      </c>
      <c r="G496" t="s">
        <v>5311</v>
      </c>
    </row>
    <row r="497" spans="1:7" ht="11.25" customHeight="1">
      <c r="A497" t="s">
        <v>14</v>
      </c>
      <c r="B497" t="s">
        <v>5307</v>
      </c>
      <c r="C497" t="s">
        <v>5308</v>
      </c>
      <c r="D497" t="s">
        <v>5312</v>
      </c>
      <c r="E497" t="s">
        <v>5313</v>
      </c>
      <c r="F497" t="s">
        <v>4512</v>
      </c>
      <c r="G497" t="s">
        <v>5314</v>
      </c>
    </row>
    <row r="498" spans="1:7" ht="11.25" customHeight="1">
      <c r="A498" t="s">
        <v>14</v>
      </c>
      <c r="B498" t="s">
        <v>5307</v>
      </c>
      <c r="C498" t="s">
        <v>5308</v>
      </c>
      <c r="D498" t="s">
        <v>5315</v>
      </c>
      <c r="E498" t="s">
        <v>5316</v>
      </c>
      <c r="F498" t="s">
        <v>3906</v>
      </c>
      <c r="G498" t="s">
        <v>5317</v>
      </c>
    </row>
    <row r="499" spans="1:7" ht="11.25" customHeight="1">
      <c r="A499" t="s">
        <v>14</v>
      </c>
      <c r="B499" t="s">
        <v>5307</v>
      </c>
      <c r="C499" t="s">
        <v>5308</v>
      </c>
      <c r="D499" t="s">
        <v>5307</v>
      </c>
      <c r="E499" t="s">
        <v>5308</v>
      </c>
      <c r="F499" t="s">
        <v>3903</v>
      </c>
      <c r="G499" t="s">
        <v>5318</v>
      </c>
    </row>
    <row r="500" spans="1:7" ht="11.25" customHeight="1">
      <c r="A500" t="s">
        <v>14</v>
      </c>
      <c r="B500" t="s">
        <v>5307</v>
      </c>
      <c r="C500" t="s">
        <v>5308</v>
      </c>
      <c r="D500" t="s">
        <v>5319</v>
      </c>
      <c r="E500" t="s">
        <v>5320</v>
      </c>
      <c r="F500" t="s">
        <v>3906</v>
      </c>
      <c r="G500" t="s">
        <v>5321</v>
      </c>
    </row>
    <row r="501" spans="1:7" ht="11.25" customHeight="1">
      <c r="A501" t="s">
        <v>14</v>
      </c>
      <c r="B501" t="s">
        <v>5322</v>
      </c>
      <c r="C501" t="s">
        <v>5323</v>
      </c>
      <c r="D501" t="s">
        <v>5324</v>
      </c>
      <c r="E501" t="s">
        <v>5325</v>
      </c>
      <c r="F501" t="s">
        <v>3906</v>
      </c>
      <c r="G501" t="s">
        <v>5326</v>
      </c>
    </row>
    <row r="502" spans="1:7" ht="11.25" customHeight="1">
      <c r="A502" t="s">
        <v>14</v>
      </c>
      <c r="B502" t="s">
        <v>5322</v>
      </c>
      <c r="C502" t="s">
        <v>5323</v>
      </c>
      <c r="D502" t="s">
        <v>5327</v>
      </c>
      <c r="E502" t="s">
        <v>5328</v>
      </c>
      <c r="F502" t="s">
        <v>3906</v>
      </c>
      <c r="G502" t="s">
        <v>5329</v>
      </c>
    </row>
    <row r="503" spans="1:7" ht="11.25" customHeight="1">
      <c r="A503" t="s">
        <v>14</v>
      </c>
      <c r="B503" t="s">
        <v>5322</v>
      </c>
      <c r="C503" t="s">
        <v>5323</v>
      </c>
      <c r="D503" t="s">
        <v>5330</v>
      </c>
      <c r="E503" t="s">
        <v>5331</v>
      </c>
      <c r="F503" t="s">
        <v>3906</v>
      </c>
      <c r="G503" t="s">
        <v>5332</v>
      </c>
    </row>
    <row r="504" spans="1:7" ht="11.25" customHeight="1">
      <c r="A504" t="s">
        <v>14</v>
      </c>
      <c r="B504" t="s">
        <v>5322</v>
      </c>
      <c r="C504" t="s">
        <v>5323</v>
      </c>
      <c r="D504" t="s">
        <v>5333</v>
      </c>
      <c r="E504" t="s">
        <v>5334</v>
      </c>
      <c r="F504" t="s">
        <v>3906</v>
      </c>
      <c r="G504" t="s">
        <v>5335</v>
      </c>
    </row>
    <row r="505" spans="1:7" ht="11.25" customHeight="1">
      <c r="A505" t="s">
        <v>14</v>
      </c>
      <c r="B505" t="s">
        <v>5322</v>
      </c>
      <c r="C505" t="s">
        <v>5323</v>
      </c>
      <c r="D505" t="s">
        <v>5322</v>
      </c>
      <c r="E505" t="s">
        <v>5323</v>
      </c>
      <c r="F505" t="s">
        <v>3903</v>
      </c>
      <c r="G505" t="s">
        <v>5336</v>
      </c>
    </row>
    <row r="506" spans="1:7" ht="11.25" customHeight="1">
      <c r="A506" t="s">
        <v>14</v>
      </c>
      <c r="B506" t="s">
        <v>5322</v>
      </c>
      <c r="C506" t="s">
        <v>5323</v>
      </c>
      <c r="D506" t="s">
        <v>5337</v>
      </c>
      <c r="E506" t="s">
        <v>5338</v>
      </c>
      <c r="F506" t="s">
        <v>3906</v>
      </c>
      <c r="G506" t="s">
        <v>5339</v>
      </c>
    </row>
    <row r="507" spans="1:7" ht="11.25" customHeight="1">
      <c r="A507" t="s">
        <v>14</v>
      </c>
      <c r="B507" t="s">
        <v>5322</v>
      </c>
      <c r="C507" t="s">
        <v>5323</v>
      </c>
      <c r="D507" t="s">
        <v>5340</v>
      </c>
      <c r="E507" t="s">
        <v>5341</v>
      </c>
      <c r="F507" t="s">
        <v>3906</v>
      </c>
      <c r="G507" t="s">
        <v>5342</v>
      </c>
    </row>
    <row r="508" spans="1:7" ht="11.25" customHeight="1">
      <c r="A508" t="s">
        <v>14</v>
      </c>
      <c r="B508" t="s">
        <v>5322</v>
      </c>
      <c r="C508" t="s">
        <v>5323</v>
      </c>
      <c r="D508" t="s">
        <v>5343</v>
      </c>
      <c r="E508" t="s">
        <v>5344</v>
      </c>
      <c r="F508" t="s">
        <v>3906</v>
      </c>
      <c r="G508" t="s">
        <v>5345</v>
      </c>
    </row>
    <row r="509" spans="1:7" ht="11.25" customHeight="1">
      <c r="A509" t="s">
        <v>14</v>
      </c>
      <c r="B509" t="s">
        <v>5322</v>
      </c>
      <c r="C509" t="s">
        <v>5323</v>
      </c>
      <c r="D509" t="s">
        <v>3935</v>
      </c>
      <c r="E509" t="s">
        <v>5346</v>
      </c>
      <c r="F509" t="s">
        <v>3906</v>
      </c>
      <c r="G509" t="s">
        <v>5347</v>
      </c>
    </row>
    <row r="510" spans="1:7" ht="11.25" customHeight="1">
      <c r="A510" t="s">
        <v>14</v>
      </c>
      <c r="B510" t="s">
        <v>5348</v>
      </c>
      <c r="C510" t="s">
        <v>5349</v>
      </c>
      <c r="D510" t="s">
        <v>5282</v>
      </c>
      <c r="E510" t="s">
        <v>5350</v>
      </c>
      <c r="F510" t="s">
        <v>3906</v>
      </c>
      <c r="G510" t="s">
        <v>5351</v>
      </c>
    </row>
    <row r="511" spans="1:7" ht="11.25" customHeight="1">
      <c r="A511" t="s">
        <v>14</v>
      </c>
      <c r="B511" t="s">
        <v>5348</v>
      </c>
      <c r="C511" t="s">
        <v>5349</v>
      </c>
      <c r="D511" t="s">
        <v>5352</v>
      </c>
      <c r="E511" t="s">
        <v>5353</v>
      </c>
      <c r="F511" t="s">
        <v>3906</v>
      </c>
      <c r="G511" t="s">
        <v>5354</v>
      </c>
    </row>
    <row r="512" spans="1:7" ht="11.25" customHeight="1">
      <c r="A512" t="s">
        <v>14</v>
      </c>
      <c r="B512" t="s">
        <v>5348</v>
      </c>
      <c r="C512" t="s">
        <v>5349</v>
      </c>
      <c r="D512" t="s">
        <v>5355</v>
      </c>
      <c r="E512" t="s">
        <v>5356</v>
      </c>
      <c r="F512" t="s">
        <v>3906</v>
      </c>
      <c r="G512" t="s">
        <v>5357</v>
      </c>
    </row>
    <row r="513" spans="1:7" ht="11.25" customHeight="1">
      <c r="A513" t="s">
        <v>14</v>
      </c>
      <c r="B513" t="s">
        <v>5348</v>
      </c>
      <c r="C513" t="s">
        <v>5349</v>
      </c>
      <c r="D513" t="s">
        <v>5358</v>
      </c>
      <c r="E513" t="s">
        <v>5359</v>
      </c>
      <c r="F513" t="s">
        <v>4512</v>
      </c>
      <c r="G513" t="s">
        <v>5360</v>
      </c>
    </row>
    <row r="514" spans="1:7" ht="11.25" customHeight="1">
      <c r="A514" t="s">
        <v>14</v>
      </c>
      <c r="B514" t="s">
        <v>5348</v>
      </c>
      <c r="C514" t="s">
        <v>5349</v>
      </c>
      <c r="D514" t="s">
        <v>5361</v>
      </c>
      <c r="E514" t="s">
        <v>5362</v>
      </c>
      <c r="F514" t="s">
        <v>3906</v>
      </c>
      <c r="G514" t="s">
        <v>5363</v>
      </c>
    </row>
    <row r="515" spans="1:7" ht="11.25" customHeight="1">
      <c r="A515" t="s">
        <v>14</v>
      </c>
      <c r="B515" t="s">
        <v>5348</v>
      </c>
      <c r="C515" t="s">
        <v>5349</v>
      </c>
      <c r="D515" t="s">
        <v>5364</v>
      </c>
      <c r="E515" t="s">
        <v>5365</v>
      </c>
      <c r="F515" t="s">
        <v>4075</v>
      </c>
      <c r="G515" t="s">
        <v>5366</v>
      </c>
    </row>
    <row r="516" spans="1:7" ht="11.25" customHeight="1">
      <c r="A516" t="s">
        <v>14</v>
      </c>
      <c r="B516" t="s">
        <v>5348</v>
      </c>
      <c r="C516" t="s">
        <v>5349</v>
      </c>
      <c r="D516" t="s">
        <v>5367</v>
      </c>
      <c r="E516" t="s">
        <v>5368</v>
      </c>
      <c r="F516" t="s">
        <v>3906</v>
      </c>
      <c r="G516" t="s">
        <v>5369</v>
      </c>
    </row>
    <row r="517" spans="1:7" ht="11.25" customHeight="1">
      <c r="A517" t="s">
        <v>14</v>
      </c>
      <c r="B517" t="s">
        <v>5348</v>
      </c>
      <c r="C517" t="s">
        <v>5349</v>
      </c>
      <c r="D517" t="s">
        <v>5348</v>
      </c>
      <c r="E517" t="s">
        <v>5349</v>
      </c>
      <c r="F517" t="s">
        <v>3903</v>
      </c>
      <c r="G517" t="s">
        <v>5370</v>
      </c>
    </row>
    <row r="518" spans="1:7" ht="11.25" customHeight="1">
      <c r="A518" t="s">
        <v>14</v>
      </c>
      <c r="B518" t="s">
        <v>5348</v>
      </c>
      <c r="C518" t="s">
        <v>5349</v>
      </c>
      <c r="D518" t="s">
        <v>5371</v>
      </c>
      <c r="E518" t="s">
        <v>5372</v>
      </c>
      <c r="F518" t="s">
        <v>3906</v>
      </c>
      <c r="G518" t="s">
        <v>5373</v>
      </c>
    </row>
    <row r="519" spans="1:7" ht="11.25" customHeight="1">
      <c r="A519" t="s">
        <v>14</v>
      </c>
      <c r="B519" t="s">
        <v>5348</v>
      </c>
      <c r="C519" t="s">
        <v>5349</v>
      </c>
      <c r="D519" t="s">
        <v>5374</v>
      </c>
      <c r="E519" t="s">
        <v>5375</v>
      </c>
      <c r="F519" t="s">
        <v>3984</v>
      </c>
      <c r="G519" t="s">
        <v>5376</v>
      </c>
    </row>
    <row r="520" spans="1:7" ht="11.25" customHeight="1">
      <c r="A520" t="s">
        <v>14</v>
      </c>
      <c r="B520" t="s">
        <v>5377</v>
      </c>
      <c r="C520" t="s">
        <v>5378</v>
      </c>
      <c r="D520" t="s">
        <v>5377</v>
      </c>
      <c r="E520" t="s">
        <v>5378</v>
      </c>
      <c r="F520" t="s">
        <v>5138</v>
      </c>
      <c r="G520" t="s">
        <v>5379</v>
      </c>
    </row>
    <row r="521" spans="1:7" ht="11.25" customHeight="1">
      <c r="A521" t="s">
        <v>14</v>
      </c>
      <c r="B521" t="s">
        <v>5380</v>
      </c>
      <c r="C521" t="s">
        <v>5381</v>
      </c>
      <c r="D521" t="s">
        <v>5382</v>
      </c>
      <c r="E521" t="s">
        <v>5383</v>
      </c>
      <c r="F521" t="s">
        <v>3906</v>
      </c>
      <c r="G521" t="s">
        <v>5384</v>
      </c>
    </row>
    <row r="522" spans="1:7" ht="11.25" customHeight="1">
      <c r="A522" t="s">
        <v>14</v>
      </c>
      <c r="B522" t="s">
        <v>5380</v>
      </c>
      <c r="C522" t="s">
        <v>5381</v>
      </c>
      <c r="D522" t="s">
        <v>5385</v>
      </c>
      <c r="E522" t="s">
        <v>5386</v>
      </c>
      <c r="F522" t="s">
        <v>3906</v>
      </c>
      <c r="G522" t="s">
        <v>5387</v>
      </c>
    </row>
    <row r="523" spans="1:7" ht="11.25" customHeight="1">
      <c r="A523" t="s">
        <v>14</v>
      </c>
      <c r="B523" t="s">
        <v>5380</v>
      </c>
      <c r="C523" t="s">
        <v>5381</v>
      </c>
      <c r="D523" t="s">
        <v>5388</v>
      </c>
      <c r="E523" t="s">
        <v>5389</v>
      </c>
      <c r="F523" t="s">
        <v>3906</v>
      </c>
      <c r="G523" t="s">
        <v>5390</v>
      </c>
    </row>
    <row r="524" spans="1:7" ht="11.25" customHeight="1">
      <c r="A524" t="s">
        <v>14</v>
      </c>
      <c r="B524" t="s">
        <v>5380</v>
      </c>
      <c r="C524" t="s">
        <v>5381</v>
      </c>
      <c r="D524" t="s">
        <v>5391</v>
      </c>
      <c r="E524" t="s">
        <v>5392</v>
      </c>
      <c r="F524" t="s">
        <v>3906</v>
      </c>
      <c r="G524" t="s">
        <v>5393</v>
      </c>
    </row>
    <row r="525" spans="1:7" ht="11.25" customHeight="1">
      <c r="A525" t="s">
        <v>14</v>
      </c>
      <c r="B525" t="s">
        <v>5380</v>
      </c>
      <c r="C525" t="s">
        <v>5381</v>
      </c>
      <c r="D525" t="s">
        <v>5394</v>
      </c>
      <c r="E525" t="s">
        <v>5395</v>
      </c>
      <c r="F525" t="s">
        <v>3906</v>
      </c>
      <c r="G525" t="s">
        <v>5396</v>
      </c>
    </row>
    <row r="526" spans="1:7" ht="11.25" customHeight="1">
      <c r="A526" t="s">
        <v>14</v>
      </c>
      <c r="B526" t="s">
        <v>5380</v>
      </c>
      <c r="C526" t="s">
        <v>5381</v>
      </c>
      <c r="D526" t="s">
        <v>5397</v>
      </c>
      <c r="E526" t="s">
        <v>5398</v>
      </c>
      <c r="F526" t="s">
        <v>3906</v>
      </c>
      <c r="G526" t="s">
        <v>5399</v>
      </c>
    </row>
    <row r="527" spans="1:7" ht="11.25" customHeight="1">
      <c r="A527" t="s">
        <v>14</v>
      </c>
      <c r="B527" t="s">
        <v>5380</v>
      </c>
      <c r="C527" t="s">
        <v>5381</v>
      </c>
      <c r="D527" t="s">
        <v>5400</v>
      </c>
      <c r="E527" t="s">
        <v>5401</v>
      </c>
      <c r="F527" t="s">
        <v>3906</v>
      </c>
      <c r="G527" t="s">
        <v>5402</v>
      </c>
    </row>
    <row r="528" spans="1:7" ht="11.25" customHeight="1">
      <c r="A528" t="s">
        <v>14</v>
      </c>
      <c r="B528" t="s">
        <v>5380</v>
      </c>
      <c r="C528" t="s">
        <v>5381</v>
      </c>
      <c r="D528" t="s">
        <v>5403</v>
      </c>
      <c r="E528" t="s">
        <v>5404</v>
      </c>
      <c r="F528" t="s">
        <v>3906</v>
      </c>
      <c r="G528" t="s">
        <v>5405</v>
      </c>
    </row>
    <row r="529" spans="1:7" ht="11.25" customHeight="1">
      <c r="A529" t="s">
        <v>14</v>
      </c>
      <c r="B529" t="s">
        <v>5380</v>
      </c>
      <c r="C529" t="s">
        <v>5381</v>
      </c>
      <c r="D529" t="s">
        <v>5380</v>
      </c>
      <c r="E529" t="s">
        <v>5381</v>
      </c>
      <c r="F529" t="s">
        <v>3903</v>
      </c>
      <c r="G529" t="s">
        <v>5406</v>
      </c>
    </row>
    <row r="530" spans="1:7" ht="11.25" customHeight="1">
      <c r="A530" t="s">
        <v>14</v>
      </c>
      <c r="B530" t="s">
        <v>5380</v>
      </c>
      <c r="C530" t="s">
        <v>5381</v>
      </c>
      <c r="D530" t="s">
        <v>5407</v>
      </c>
      <c r="E530" t="s">
        <v>5408</v>
      </c>
      <c r="F530" t="s">
        <v>3906</v>
      </c>
      <c r="G530" t="s">
        <v>5409</v>
      </c>
    </row>
    <row r="531" spans="1:7" ht="11.25" customHeight="1">
      <c r="A531" t="s">
        <v>14</v>
      </c>
      <c r="B531" t="s">
        <v>5380</v>
      </c>
      <c r="C531" t="s">
        <v>5381</v>
      </c>
      <c r="D531" t="s">
        <v>5410</v>
      </c>
      <c r="E531" t="s">
        <v>5411</v>
      </c>
      <c r="F531" t="s">
        <v>3906</v>
      </c>
      <c r="G531" t="s">
        <v>5412</v>
      </c>
    </row>
    <row r="532" spans="1:7" ht="11.25" customHeight="1">
      <c r="A532" t="s">
        <v>14</v>
      </c>
      <c r="B532" t="s">
        <v>5413</v>
      </c>
      <c r="C532" t="s">
        <v>5414</v>
      </c>
      <c r="D532" t="s">
        <v>5415</v>
      </c>
      <c r="E532" t="s">
        <v>5416</v>
      </c>
      <c r="F532" t="s">
        <v>3906</v>
      </c>
      <c r="G532" t="s">
        <v>5417</v>
      </c>
    </row>
    <row r="533" spans="1:7" ht="11.25" customHeight="1">
      <c r="A533" t="s">
        <v>14</v>
      </c>
      <c r="B533" t="s">
        <v>5413</v>
      </c>
      <c r="C533" t="s">
        <v>5414</v>
      </c>
      <c r="D533" t="s">
        <v>5418</v>
      </c>
      <c r="E533" t="s">
        <v>5419</v>
      </c>
      <c r="F533" t="s">
        <v>4512</v>
      </c>
      <c r="G533" t="s">
        <v>5420</v>
      </c>
    </row>
    <row r="534" spans="1:7" ht="11.25" customHeight="1">
      <c r="A534" t="s">
        <v>14</v>
      </c>
      <c r="B534" t="s">
        <v>5413</v>
      </c>
      <c r="C534" t="s">
        <v>5414</v>
      </c>
      <c r="D534" t="s">
        <v>5421</v>
      </c>
      <c r="E534" t="s">
        <v>5422</v>
      </c>
      <c r="F534" t="s">
        <v>3906</v>
      </c>
      <c r="G534" t="s">
        <v>5423</v>
      </c>
    </row>
    <row r="535" spans="1:7" ht="11.25" customHeight="1">
      <c r="A535" t="s">
        <v>14</v>
      </c>
      <c r="B535" t="s">
        <v>5413</v>
      </c>
      <c r="C535" t="s">
        <v>5414</v>
      </c>
      <c r="D535" t="s">
        <v>5424</v>
      </c>
      <c r="E535" t="s">
        <v>5425</v>
      </c>
      <c r="F535" t="s">
        <v>3906</v>
      </c>
      <c r="G535" t="s">
        <v>5426</v>
      </c>
    </row>
    <row r="536" spans="1:7" ht="11.25" customHeight="1">
      <c r="A536" t="s">
        <v>14</v>
      </c>
      <c r="B536" t="s">
        <v>5413</v>
      </c>
      <c r="C536" t="s">
        <v>5414</v>
      </c>
      <c r="D536" t="s">
        <v>5427</v>
      </c>
      <c r="E536" t="s">
        <v>5428</v>
      </c>
      <c r="F536" t="s">
        <v>3906</v>
      </c>
      <c r="G536" t="s">
        <v>5429</v>
      </c>
    </row>
    <row r="537" spans="1:7" ht="11.25" customHeight="1">
      <c r="A537" t="s">
        <v>14</v>
      </c>
      <c r="B537" t="s">
        <v>5413</v>
      </c>
      <c r="C537" t="s">
        <v>5414</v>
      </c>
      <c r="D537" t="s">
        <v>5430</v>
      </c>
      <c r="E537" t="s">
        <v>5431</v>
      </c>
      <c r="F537" t="s">
        <v>3906</v>
      </c>
      <c r="G537" t="s">
        <v>5432</v>
      </c>
    </row>
    <row r="538" spans="1:7" ht="11.25" customHeight="1">
      <c r="A538" t="s">
        <v>14</v>
      </c>
      <c r="B538" t="s">
        <v>5413</v>
      </c>
      <c r="C538" t="s">
        <v>5414</v>
      </c>
      <c r="D538" t="s">
        <v>5433</v>
      </c>
      <c r="E538" t="s">
        <v>5434</v>
      </c>
      <c r="F538" t="s">
        <v>3906</v>
      </c>
      <c r="G538" t="s">
        <v>5435</v>
      </c>
    </row>
    <row r="539" spans="1:7" ht="11.25" customHeight="1">
      <c r="A539" t="s">
        <v>14</v>
      </c>
      <c r="B539" t="s">
        <v>5413</v>
      </c>
      <c r="C539" t="s">
        <v>5414</v>
      </c>
      <c r="D539" t="s">
        <v>5436</v>
      </c>
      <c r="E539" t="s">
        <v>5437</v>
      </c>
      <c r="F539" t="s">
        <v>3906</v>
      </c>
      <c r="G539" t="s">
        <v>5438</v>
      </c>
    </row>
    <row r="540" spans="1:7" ht="11.25" customHeight="1">
      <c r="A540" t="s">
        <v>14</v>
      </c>
      <c r="B540" t="s">
        <v>5413</v>
      </c>
      <c r="C540" t="s">
        <v>5414</v>
      </c>
      <c r="D540" t="s">
        <v>4260</v>
      </c>
      <c r="E540" t="s">
        <v>5439</v>
      </c>
      <c r="F540" t="s">
        <v>3906</v>
      </c>
      <c r="G540" t="s">
        <v>5440</v>
      </c>
    </row>
    <row r="541" spans="1:7" ht="11.25" customHeight="1">
      <c r="A541" t="s">
        <v>14</v>
      </c>
      <c r="B541" t="s">
        <v>5413</v>
      </c>
      <c r="C541" t="s">
        <v>5414</v>
      </c>
      <c r="D541" t="s">
        <v>5441</v>
      </c>
      <c r="E541" t="s">
        <v>5442</v>
      </c>
      <c r="F541" t="s">
        <v>3906</v>
      </c>
      <c r="G541" t="s">
        <v>5443</v>
      </c>
    </row>
    <row r="542" spans="1:7" ht="11.25" customHeight="1">
      <c r="A542" t="s">
        <v>14</v>
      </c>
      <c r="B542" t="s">
        <v>5413</v>
      </c>
      <c r="C542" t="s">
        <v>5414</v>
      </c>
      <c r="D542" t="s">
        <v>5444</v>
      </c>
      <c r="E542" t="s">
        <v>5445</v>
      </c>
      <c r="F542" t="s">
        <v>3906</v>
      </c>
      <c r="G542" t="s">
        <v>5446</v>
      </c>
    </row>
    <row r="543" spans="1:7" ht="11.25" customHeight="1">
      <c r="A543" t="s">
        <v>14</v>
      </c>
      <c r="B543" t="s">
        <v>5413</v>
      </c>
      <c r="C543" t="s">
        <v>5414</v>
      </c>
      <c r="D543" t="s">
        <v>5447</v>
      </c>
      <c r="E543" t="s">
        <v>5448</v>
      </c>
      <c r="F543" t="s">
        <v>3906</v>
      </c>
      <c r="G543" t="s">
        <v>5449</v>
      </c>
    </row>
    <row r="544" spans="1:7" ht="11.25" customHeight="1">
      <c r="A544" t="s">
        <v>14</v>
      </c>
      <c r="B544" t="s">
        <v>5413</v>
      </c>
      <c r="C544" t="s">
        <v>5414</v>
      </c>
      <c r="D544" t="s">
        <v>5450</v>
      </c>
      <c r="E544" t="s">
        <v>5451</v>
      </c>
      <c r="F544" t="s">
        <v>3906</v>
      </c>
      <c r="G544" t="s">
        <v>5452</v>
      </c>
    </row>
    <row r="545" spans="1:7" ht="11.25" customHeight="1">
      <c r="A545" t="s">
        <v>14</v>
      </c>
      <c r="B545" t="s">
        <v>5413</v>
      </c>
      <c r="C545" t="s">
        <v>5414</v>
      </c>
      <c r="D545" t="s">
        <v>5413</v>
      </c>
      <c r="E545" t="s">
        <v>5414</v>
      </c>
      <c r="F545" t="s">
        <v>3903</v>
      </c>
      <c r="G545" t="s">
        <v>5453</v>
      </c>
    </row>
    <row r="546" spans="1:7" ht="11.25" customHeight="1">
      <c r="A546" t="s">
        <v>14</v>
      </c>
      <c r="B546" t="s">
        <v>5454</v>
      </c>
      <c r="C546" t="s">
        <v>5455</v>
      </c>
      <c r="D546" t="s">
        <v>5456</v>
      </c>
      <c r="E546" t="s">
        <v>5457</v>
      </c>
      <c r="F546" t="s">
        <v>3906</v>
      </c>
      <c r="G546" t="s">
        <v>5458</v>
      </c>
    </row>
    <row r="547" spans="1:7" ht="11.25" customHeight="1">
      <c r="A547" t="s">
        <v>14</v>
      </c>
      <c r="B547" t="s">
        <v>5454</v>
      </c>
      <c r="C547" t="s">
        <v>5455</v>
      </c>
      <c r="D547" t="s">
        <v>5459</v>
      </c>
      <c r="E547" t="s">
        <v>5460</v>
      </c>
      <c r="F547" t="s">
        <v>3906</v>
      </c>
      <c r="G547" t="s">
        <v>5461</v>
      </c>
    </row>
    <row r="548" spans="1:7" ht="11.25" customHeight="1">
      <c r="A548" t="s">
        <v>14</v>
      </c>
      <c r="B548" t="s">
        <v>5454</v>
      </c>
      <c r="C548" t="s">
        <v>5455</v>
      </c>
      <c r="D548" t="s">
        <v>5462</v>
      </c>
      <c r="E548" t="s">
        <v>5463</v>
      </c>
      <c r="F548" t="s">
        <v>3906</v>
      </c>
      <c r="G548" t="s">
        <v>5464</v>
      </c>
    </row>
    <row r="549" spans="1:7" ht="11.25" customHeight="1">
      <c r="A549" t="s">
        <v>14</v>
      </c>
      <c r="B549" t="s">
        <v>5454</v>
      </c>
      <c r="C549" t="s">
        <v>5455</v>
      </c>
      <c r="D549" t="s">
        <v>5465</v>
      </c>
      <c r="E549" t="s">
        <v>5466</v>
      </c>
      <c r="F549" t="s">
        <v>4512</v>
      </c>
      <c r="G549" t="s">
        <v>5467</v>
      </c>
    </row>
    <row r="550" spans="1:7" ht="11.25" customHeight="1">
      <c r="A550" t="s">
        <v>14</v>
      </c>
      <c r="B550" t="s">
        <v>5454</v>
      </c>
      <c r="C550" t="s">
        <v>5455</v>
      </c>
      <c r="D550" t="s">
        <v>5468</v>
      </c>
      <c r="E550" t="s">
        <v>5469</v>
      </c>
      <c r="F550" t="s">
        <v>3906</v>
      </c>
      <c r="G550" t="s">
        <v>5470</v>
      </c>
    </row>
    <row r="551" spans="1:7" ht="11.25" customHeight="1">
      <c r="A551" t="s">
        <v>14</v>
      </c>
      <c r="B551" t="s">
        <v>5454</v>
      </c>
      <c r="C551" t="s">
        <v>5455</v>
      </c>
      <c r="D551" t="s">
        <v>5471</v>
      </c>
      <c r="E551" t="s">
        <v>5472</v>
      </c>
      <c r="F551" t="s">
        <v>3906</v>
      </c>
      <c r="G551" t="s">
        <v>5473</v>
      </c>
    </row>
    <row r="552" spans="1:7" ht="11.25" customHeight="1">
      <c r="A552" t="s">
        <v>14</v>
      </c>
      <c r="B552" t="s">
        <v>5454</v>
      </c>
      <c r="C552" t="s">
        <v>5455</v>
      </c>
      <c r="D552" t="s">
        <v>5474</v>
      </c>
      <c r="E552" t="s">
        <v>5475</v>
      </c>
      <c r="F552" t="s">
        <v>3906</v>
      </c>
      <c r="G552" t="s">
        <v>5476</v>
      </c>
    </row>
    <row r="553" spans="1:7" ht="11.25" customHeight="1">
      <c r="A553" t="s">
        <v>14</v>
      </c>
      <c r="B553" t="s">
        <v>5454</v>
      </c>
      <c r="C553" t="s">
        <v>5455</v>
      </c>
      <c r="D553" t="s">
        <v>5477</v>
      </c>
      <c r="E553" t="s">
        <v>5478</v>
      </c>
      <c r="F553" t="s">
        <v>3906</v>
      </c>
      <c r="G553" t="s">
        <v>5479</v>
      </c>
    </row>
    <row r="554" spans="1:7" ht="11.25" customHeight="1">
      <c r="A554" t="s">
        <v>14</v>
      </c>
      <c r="B554" t="s">
        <v>5454</v>
      </c>
      <c r="C554" t="s">
        <v>5455</v>
      </c>
      <c r="D554" t="s">
        <v>5480</v>
      </c>
      <c r="E554" t="s">
        <v>5481</v>
      </c>
      <c r="F554" t="s">
        <v>3906</v>
      </c>
      <c r="G554" t="s">
        <v>5482</v>
      </c>
    </row>
    <row r="555" spans="1:7" ht="11.25" customHeight="1">
      <c r="A555" t="s">
        <v>14</v>
      </c>
      <c r="B555" t="s">
        <v>5454</v>
      </c>
      <c r="C555" t="s">
        <v>5455</v>
      </c>
      <c r="D555" t="s">
        <v>5483</v>
      </c>
      <c r="E555" t="s">
        <v>5484</v>
      </c>
      <c r="F555" t="s">
        <v>3906</v>
      </c>
      <c r="G555" t="s">
        <v>5485</v>
      </c>
    </row>
    <row r="556" spans="1:7" ht="11.25" customHeight="1">
      <c r="A556" t="s">
        <v>14</v>
      </c>
      <c r="B556" t="s">
        <v>5454</v>
      </c>
      <c r="C556" t="s">
        <v>5455</v>
      </c>
      <c r="D556" t="s">
        <v>5454</v>
      </c>
      <c r="E556" t="s">
        <v>5455</v>
      </c>
      <c r="F556" t="s">
        <v>3903</v>
      </c>
      <c r="G556" t="s">
        <v>5486</v>
      </c>
    </row>
    <row r="557" spans="1:7" ht="11.25" customHeight="1">
      <c r="A557" t="s">
        <v>14</v>
      </c>
      <c r="B557" t="s">
        <v>99</v>
      </c>
      <c r="C557" t="s">
        <v>100</v>
      </c>
      <c r="D557" t="s">
        <v>99</v>
      </c>
      <c r="E557" t="s">
        <v>100</v>
      </c>
      <c r="F557" t="s">
        <v>5138</v>
      </c>
      <c r="G557" t="s">
        <v>98</v>
      </c>
    </row>
    <row r="558" spans="1:7" ht="11.25" customHeight="1">
      <c r="A558" t="s">
        <v>14</v>
      </c>
      <c r="B558" t="s">
        <v>5487</v>
      </c>
      <c r="C558" t="s">
        <v>5488</v>
      </c>
      <c r="D558" t="s">
        <v>4807</v>
      </c>
      <c r="E558" t="s">
        <v>5489</v>
      </c>
      <c r="F558" t="s">
        <v>3906</v>
      </c>
      <c r="G558" t="s">
        <v>5490</v>
      </c>
    </row>
    <row r="559" spans="1:7" ht="11.25" customHeight="1">
      <c r="A559" t="s">
        <v>14</v>
      </c>
      <c r="B559" t="s">
        <v>5487</v>
      </c>
      <c r="C559" t="s">
        <v>5488</v>
      </c>
      <c r="D559" t="s">
        <v>4394</v>
      </c>
      <c r="E559" t="s">
        <v>5491</v>
      </c>
      <c r="F559" t="s">
        <v>3906</v>
      </c>
      <c r="G559" t="s">
        <v>5492</v>
      </c>
    </row>
    <row r="560" spans="1:7" ht="11.25" customHeight="1">
      <c r="A560" t="s">
        <v>14</v>
      </c>
      <c r="B560" t="s">
        <v>5487</v>
      </c>
      <c r="C560" t="s">
        <v>5488</v>
      </c>
      <c r="D560" t="s">
        <v>5493</v>
      </c>
      <c r="E560" t="s">
        <v>5494</v>
      </c>
      <c r="F560" t="s">
        <v>3906</v>
      </c>
      <c r="G560" t="s">
        <v>5495</v>
      </c>
    </row>
    <row r="561" spans="1:7" ht="11.25" customHeight="1">
      <c r="A561" t="s">
        <v>14</v>
      </c>
      <c r="B561" t="s">
        <v>5487</v>
      </c>
      <c r="C561" t="s">
        <v>5488</v>
      </c>
      <c r="D561" t="s">
        <v>5496</v>
      </c>
      <c r="E561" t="s">
        <v>5497</v>
      </c>
      <c r="F561" t="s">
        <v>3906</v>
      </c>
      <c r="G561" t="s">
        <v>5498</v>
      </c>
    </row>
    <row r="562" spans="1:7" ht="11.25" customHeight="1">
      <c r="A562" t="s">
        <v>14</v>
      </c>
      <c r="B562" t="s">
        <v>5487</v>
      </c>
      <c r="C562" t="s">
        <v>5488</v>
      </c>
      <c r="D562" t="s">
        <v>5499</v>
      </c>
      <c r="E562" t="s">
        <v>5500</v>
      </c>
      <c r="F562" t="s">
        <v>3906</v>
      </c>
      <c r="G562" t="s">
        <v>5501</v>
      </c>
    </row>
    <row r="563" spans="1:7" ht="11.25" customHeight="1">
      <c r="A563" t="s">
        <v>14</v>
      </c>
      <c r="B563" t="s">
        <v>5487</v>
      </c>
      <c r="C563" t="s">
        <v>5488</v>
      </c>
      <c r="D563" t="s">
        <v>5502</v>
      </c>
      <c r="E563" t="s">
        <v>5503</v>
      </c>
      <c r="F563" t="s">
        <v>3906</v>
      </c>
      <c r="G563" t="s">
        <v>5504</v>
      </c>
    </row>
    <row r="564" spans="1:7" ht="11.25" customHeight="1">
      <c r="A564" t="s">
        <v>14</v>
      </c>
      <c r="B564" t="s">
        <v>5487</v>
      </c>
      <c r="C564" t="s">
        <v>5488</v>
      </c>
      <c r="D564" t="s">
        <v>5487</v>
      </c>
      <c r="E564" t="s">
        <v>5488</v>
      </c>
      <c r="F564" t="s">
        <v>3903</v>
      </c>
      <c r="G564" t="s">
        <v>5505</v>
      </c>
    </row>
    <row r="565" spans="1:7" ht="11.25" customHeight="1">
      <c r="A565" t="s">
        <v>14</v>
      </c>
      <c r="B565" t="s">
        <v>5487</v>
      </c>
      <c r="C565" t="s">
        <v>5488</v>
      </c>
      <c r="D565" t="s">
        <v>5506</v>
      </c>
      <c r="E565" t="s">
        <v>5507</v>
      </c>
      <c r="F565" t="s">
        <v>3906</v>
      </c>
      <c r="G565" t="s">
        <v>5508</v>
      </c>
    </row>
    <row r="566" spans="1:7" ht="11.25" customHeight="1">
      <c r="A566" t="s">
        <v>14</v>
      </c>
      <c r="B566" t="s">
        <v>5509</v>
      </c>
      <c r="C566" t="s">
        <v>5510</v>
      </c>
      <c r="D566" t="s">
        <v>5511</v>
      </c>
      <c r="E566" t="s">
        <v>5512</v>
      </c>
      <c r="F566" t="s">
        <v>3906</v>
      </c>
      <c r="G566" t="s">
        <v>5513</v>
      </c>
    </row>
    <row r="567" spans="1:7" ht="11.25" customHeight="1">
      <c r="A567" t="s">
        <v>14</v>
      </c>
      <c r="B567" t="s">
        <v>5509</v>
      </c>
      <c r="C567" t="s">
        <v>5510</v>
      </c>
      <c r="D567" t="s">
        <v>5514</v>
      </c>
      <c r="E567" t="s">
        <v>5515</v>
      </c>
      <c r="F567" t="s">
        <v>3906</v>
      </c>
      <c r="G567" t="s">
        <v>5516</v>
      </c>
    </row>
    <row r="568" spans="1:7" ht="11.25" customHeight="1">
      <c r="A568" t="s">
        <v>14</v>
      </c>
      <c r="B568" t="s">
        <v>5509</v>
      </c>
      <c r="C568" t="s">
        <v>5510</v>
      </c>
      <c r="D568" t="s">
        <v>5517</v>
      </c>
      <c r="E568" t="s">
        <v>5518</v>
      </c>
      <c r="F568" t="s">
        <v>3906</v>
      </c>
      <c r="G568" t="s">
        <v>5519</v>
      </c>
    </row>
    <row r="569" spans="1:7" ht="11.25" customHeight="1">
      <c r="A569" t="s">
        <v>14</v>
      </c>
      <c r="B569" t="s">
        <v>5509</v>
      </c>
      <c r="C569" t="s">
        <v>5510</v>
      </c>
      <c r="D569" t="s">
        <v>5520</v>
      </c>
      <c r="E569" t="s">
        <v>5521</v>
      </c>
      <c r="F569" t="s">
        <v>3906</v>
      </c>
      <c r="G569" t="s">
        <v>5522</v>
      </c>
    </row>
    <row r="570" spans="1:7" ht="11.25" customHeight="1">
      <c r="A570" t="s">
        <v>14</v>
      </c>
      <c r="B570" t="s">
        <v>5509</v>
      </c>
      <c r="C570" t="s">
        <v>5510</v>
      </c>
      <c r="D570" t="s">
        <v>5523</v>
      </c>
      <c r="E570" t="s">
        <v>5524</v>
      </c>
      <c r="F570" t="s">
        <v>3906</v>
      </c>
      <c r="G570" t="s">
        <v>5525</v>
      </c>
    </row>
    <row r="571" spans="1:7" ht="11.25" customHeight="1">
      <c r="A571" t="s">
        <v>14</v>
      </c>
      <c r="B571" t="s">
        <v>5509</v>
      </c>
      <c r="C571" t="s">
        <v>5510</v>
      </c>
      <c r="D571" t="s">
        <v>5526</v>
      </c>
      <c r="E571" t="s">
        <v>5527</v>
      </c>
      <c r="F571" t="s">
        <v>3906</v>
      </c>
      <c r="G571" t="s">
        <v>5528</v>
      </c>
    </row>
    <row r="572" spans="1:7" ht="11.25" customHeight="1">
      <c r="A572" t="s">
        <v>14</v>
      </c>
      <c r="B572" t="s">
        <v>5509</v>
      </c>
      <c r="C572" t="s">
        <v>5510</v>
      </c>
      <c r="D572" t="s">
        <v>5529</v>
      </c>
      <c r="E572" t="s">
        <v>5530</v>
      </c>
      <c r="F572" t="s">
        <v>3906</v>
      </c>
      <c r="G572" t="s">
        <v>5531</v>
      </c>
    </row>
    <row r="573" spans="1:7" ht="11.25" customHeight="1">
      <c r="A573" t="s">
        <v>14</v>
      </c>
      <c r="B573" t="s">
        <v>5509</v>
      </c>
      <c r="C573" t="s">
        <v>5510</v>
      </c>
      <c r="D573" t="s">
        <v>5509</v>
      </c>
      <c r="E573" t="s">
        <v>5510</v>
      </c>
      <c r="F573" t="s">
        <v>3903</v>
      </c>
      <c r="G573" t="s">
        <v>5532</v>
      </c>
    </row>
    <row r="574" spans="1:7" ht="11.25" customHeight="1">
      <c r="A574" t="s">
        <v>14</v>
      </c>
      <c r="B574" t="s">
        <v>5509</v>
      </c>
      <c r="C574" t="s">
        <v>5510</v>
      </c>
      <c r="D574" t="s">
        <v>5533</v>
      </c>
      <c r="E574" t="s">
        <v>5534</v>
      </c>
      <c r="F574" t="s">
        <v>3984</v>
      </c>
      <c r="G574" t="s">
        <v>5535</v>
      </c>
    </row>
    <row r="575" spans="1:7" ht="11.25" customHeight="1">
      <c r="A575" t="s">
        <v>14</v>
      </c>
      <c r="B575" t="s">
        <v>5536</v>
      </c>
      <c r="C575" t="s">
        <v>5537</v>
      </c>
      <c r="D575" t="s">
        <v>5536</v>
      </c>
      <c r="E575" t="s">
        <v>5537</v>
      </c>
      <c r="F575" t="s">
        <v>3903</v>
      </c>
      <c r="G575" t="s">
        <v>5538</v>
      </c>
    </row>
    <row r="576" spans="1:7" ht="11.25" customHeight="1">
      <c r="A576" t="s">
        <v>14</v>
      </c>
      <c r="B576" t="s">
        <v>5536</v>
      </c>
      <c r="C576" t="s">
        <v>5537</v>
      </c>
      <c r="D576" t="s">
        <v>5539</v>
      </c>
      <c r="E576" t="s">
        <v>5540</v>
      </c>
      <c r="F576" t="s">
        <v>3906</v>
      </c>
      <c r="G576" t="s">
        <v>5541</v>
      </c>
    </row>
    <row r="577" spans="1:7" ht="11.25" customHeight="1">
      <c r="A577" t="s">
        <v>14</v>
      </c>
      <c r="B577" t="s">
        <v>5536</v>
      </c>
      <c r="C577" t="s">
        <v>5537</v>
      </c>
      <c r="D577" t="s">
        <v>5542</v>
      </c>
      <c r="E577" t="s">
        <v>5543</v>
      </c>
      <c r="F577" t="s">
        <v>3906</v>
      </c>
      <c r="G577" t="s">
        <v>5544</v>
      </c>
    </row>
    <row r="578" spans="1:7" ht="11.25" customHeight="1">
      <c r="A578" t="s">
        <v>14</v>
      </c>
      <c r="B578" t="s">
        <v>5536</v>
      </c>
      <c r="C578" t="s">
        <v>5537</v>
      </c>
      <c r="D578" t="s">
        <v>5545</v>
      </c>
      <c r="E578" t="s">
        <v>5546</v>
      </c>
      <c r="F578" t="s">
        <v>3906</v>
      </c>
      <c r="G578" t="s">
        <v>5547</v>
      </c>
    </row>
    <row r="579" spans="1:7" ht="11.25" customHeight="1">
      <c r="A579" t="s">
        <v>14</v>
      </c>
      <c r="B579" t="s">
        <v>5536</v>
      </c>
      <c r="C579" t="s">
        <v>5537</v>
      </c>
      <c r="D579" t="s">
        <v>5548</v>
      </c>
      <c r="E579" t="s">
        <v>5549</v>
      </c>
      <c r="F579" t="s">
        <v>3906</v>
      </c>
      <c r="G579" t="s">
        <v>5550</v>
      </c>
    </row>
    <row r="580" spans="1:7" ht="11.25" customHeight="1">
      <c r="A580" t="s">
        <v>14</v>
      </c>
      <c r="B580" t="s">
        <v>5536</v>
      </c>
      <c r="C580" t="s">
        <v>5537</v>
      </c>
      <c r="D580" t="s">
        <v>5551</v>
      </c>
      <c r="E580" t="s">
        <v>5552</v>
      </c>
      <c r="F580" t="s">
        <v>3906</v>
      </c>
      <c r="G580" t="s">
        <v>5553</v>
      </c>
    </row>
    <row r="581" spans="1:7" ht="11.25" customHeight="1">
      <c r="A581" t="s">
        <v>14</v>
      </c>
      <c r="B581" t="s">
        <v>5536</v>
      </c>
      <c r="C581" t="s">
        <v>5537</v>
      </c>
      <c r="D581" t="s">
        <v>5554</v>
      </c>
      <c r="E581" t="s">
        <v>5555</v>
      </c>
      <c r="F581" t="s">
        <v>3906</v>
      </c>
      <c r="G581" t="s">
        <v>5556</v>
      </c>
    </row>
    <row r="582" spans="1:7" ht="11.25" customHeight="1">
      <c r="A582" t="s">
        <v>14</v>
      </c>
      <c r="B582" t="s">
        <v>5536</v>
      </c>
      <c r="C582" t="s">
        <v>5537</v>
      </c>
      <c r="D582" t="s">
        <v>5557</v>
      </c>
      <c r="E582" t="s">
        <v>5558</v>
      </c>
      <c r="F582" t="s">
        <v>3906</v>
      </c>
      <c r="G582" t="s">
        <v>5559</v>
      </c>
    </row>
    <row r="583" spans="1:7" ht="11.25" customHeight="1">
      <c r="A583" t="s">
        <v>14</v>
      </c>
      <c r="B583" t="s">
        <v>5536</v>
      </c>
      <c r="C583" t="s">
        <v>5537</v>
      </c>
      <c r="D583" t="s">
        <v>5560</v>
      </c>
      <c r="E583" t="s">
        <v>5561</v>
      </c>
      <c r="F583" t="s">
        <v>3906</v>
      </c>
      <c r="G583" t="s">
        <v>5562</v>
      </c>
    </row>
    <row r="584" spans="1:7" ht="11.25" customHeight="1">
      <c r="A584" t="s">
        <v>14</v>
      </c>
      <c r="B584" t="s">
        <v>5536</v>
      </c>
      <c r="C584" t="s">
        <v>5537</v>
      </c>
      <c r="D584" t="s">
        <v>5563</v>
      </c>
      <c r="E584" t="s">
        <v>5564</v>
      </c>
      <c r="F584" t="s">
        <v>3906</v>
      </c>
      <c r="G584" t="s">
        <v>5565</v>
      </c>
    </row>
    <row r="585" spans="1:7" ht="11.25" customHeight="1">
      <c r="A585" t="s">
        <v>14</v>
      </c>
      <c r="B585" t="s">
        <v>5536</v>
      </c>
      <c r="C585" t="s">
        <v>5537</v>
      </c>
      <c r="D585" t="s">
        <v>5566</v>
      </c>
      <c r="E585" t="s">
        <v>5567</v>
      </c>
      <c r="F585" t="s">
        <v>3906</v>
      </c>
      <c r="G585" t="s">
        <v>5568</v>
      </c>
    </row>
    <row r="586" spans="1:7" ht="11.25" customHeight="1">
      <c r="A586" t="s">
        <v>14</v>
      </c>
      <c r="B586" t="s">
        <v>5536</v>
      </c>
      <c r="C586" t="s">
        <v>5537</v>
      </c>
      <c r="D586" t="s">
        <v>5569</v>
      </c>
      <c r="E586" t="s">
        <v>5570</v>
      </c>
      <c r="F586" t="s">
        <v>3906</v>
      </c>
      <c r="G586" t="s">
        <v>5571</v>
      </c>
    </row>
    <row r="587" spans="1:7" ht="11.25" customHeight="1">
      <c r="A587" t="s">
        <v>14</v>
      </c>
      <c r="B587" t="s">
        <v>5536</v>
      </c>
      <c r="C587" t="s">
        <v>5537</v>
      </c>
      <c r="D587" t="s">
        <v>5572</v>
      </c>
      <c r="E587" t="s">
        <v>5573</v>
      </c>
      <c r="F587" t="s">
        <v>3906</v>
      </c>
      <c r="G587" t="s">
        <v>5574</v>
      </c>
    </row>
    <row r="588" spans="1:7" ht="11.25" customHeight="1">
      <c r="A588" t="s">
        <v>14</v>
      </c>
      <c r="B588" t="s">
        <v>5536</v>
      </c>
      <c r="C588" t="s">
        <v>5537</v>
      </c>
      <c r="D588" t="s">
        <v>5575</v>
      </c>
      <c r="E588" t="s">
        <v>5576</v>
      </c>
      <c r="F588" t="s">
        <v>3906</v>
      </c>
      <c r="G588" t="s">
        <v>5577</v>
      </c>
    </row>
    <row r="589" spans="1:7" ht="11.25" customHeight="1">
      <c r="A589" t="s">
        <v>14</v>
      </c>
      <c r="B589" t="s">
        <v>5536</v>
      </c>
      <c r="C589" t="s">
        <v>5537</v>
      </c>
      <c r="D589" t="s">
        <v>5578</v>
      </c>
      <c r="E589" t="s">
        <v>5579</v>
      </c>
      <c r="F589" t="s">
        <v>3906</v>
      </c>
      <c r="G589" t="s">
        <v>5580</v>
      </c>
    </row>
    <row r="590" spans="1:7" ht="11.25" customHeight="1">
      <c r="A590" t="s">
        <v>14</v>
      </c>
      <c r="B590" t="s">
        <v>5536</v>
      </c>
      <c r="C590" t="s">
        <v>5537</v>
      </c>
      <c r="D590" t="s">
        <v>5581</v>
      </c>
      <c r="E590" t="s">
        <v>5582</v>
      </c>
      <c r="F590" t="s">
        <v>3906</v>
      </c>
      <c r="G590" t="s">
        <v>5583</v>
      </c>
    </row>
    <row r="591" spans="1:7" ht="11.25" customHeight="1">
      <c r="A591" t="s">
        <v>14</v>
      </c>
      <c r="B591" t="s">
        <v>5536</v>
      </c>
      <c r="C591" t="s">
        <v>5537</v>
      </c>
      <c r="D591" t="s">
        <v>5584</v>
      </c>
      <c r="E591" t="s">
        <v>5585</v>
      </c>
      <c r="F591" t="s">
        <v>3906</v>
      </c>
      <c r="G591" t="s">
        <v>5586</v>
      </c>
    </row>
    <row r="592" spans="1:7" ht="11.25" customHeight="1">
      <c r="A592" t="s">
        <v>14</v>
      </c>
      <c r="B592" t="s">
        <v>5536</v>
      </c>
      <c r="C592" t="s">
        <v>5537</v>
      </c>
      <c r="D592" t="s">
        <v>5587</v>
      </c>
      <c r="E592" t="s">
        <v>5588</v>
      </c>
      <c r="F592" t="s">
        <v>3906</v>
      </c>
      <c r="G592" t="s">
        <v>5589</v>
      </c>
    </row>
    <row r="593" spans="1:7" ht="11.25" customHeight="1">
      <c r="A593" t="s">
        <v>14</v>
      </c>
      <c r="B593" t="s">
        <v>5536</v>
      </c>
      <c r="C593" t="s">
        <v>5537</v>
      </c>
      <c r="D593" t="s">
        <v>5590</v>
      </c>
      <c r="E593" t="s">
        <v>5591</v>
      </c>
      <c r="F593" t="s">
        <v>3906</v>
      </c>
      <c r="G593" t="s">
        <v>5592</v>
      </c>
    </row>
    <row r="594" spans="1:7" ht="11.25" customHeight="1">
      <c r="A594" t="s">
        <v>14</v>
      </c>
      <c r="B594" t="s">
        <v>5536</v>
      </c>
      <c r="C594" t="s">
        <v>5537</v>
      </c>
      <c r="D594" t="s">
        <v>5593</v>
      </c>
      <c r="E594" t="s">
        <v>5594</v>
      </c>
      <c r="F594" t="s">
        <v>3906</v>
      </c>
      <c r="G594" t="s">
        <v>5595</v>
      </c>
    </row>
    <row r="595" spans="1:7" ht="11.25" customHeight="1">
      <c r="A595" t="s">
        <v>14</v>
      </c>
      <c r="B595" t="s">
        <v>5536</v>
      </c>
      <c r="C595" t="s">
        <v>5537</v>
      </c>
      <c r="D595" t="s">
        <v>5596</v>
      </c>
      <c r="E595" t="s">
        <v>5597</v>
      </c>
      <c r="F595" t="s">
        <v>3906</v>
      </c>
      <c r="G595" t="s">
        <v>5598</v>
      </c>
    </row>
    <row r="596" spans="1:7" ht="11.25" customHeight="1">
      <c r="A596" t="s">
        <v>14</v>
      </c>
      <c r="B596" t="s">
        <v>5536</v>
      </c>
      <c r="C596" t="s">
        <v>5537</v>
      </c>
      <c r="D596" t="s">
        <v>5599</v>
      </c>
      <c r="E596" t="s">
        <v>5600</v>
      </c>
      <c r="F596" t="s">
        <v>3906</v>
      </c>
      <c r="G596" t="s">
        <v>5601</v>
      </c>
    </row>
    <row r="597" spans="1:7" ht="11.25" customHeight="1">
      <c r="A597" t="s">
        <v>14</v>
      </c>
      <c r="B597" t="s">
        <v>5536</v>
      </c>
      <c r="C597" t="s">
        <v>5537</v>
      </c>
      <c r="D597" t="s">
        <v>5602</v>
      </c>
      <c r="E597" t="s">
        <v>5603</v>
      </c>
      <c r="F597" t="s">
        <v>3906</v>
      </c>
      <c r="G597" t="s">
        <v>5604</v>
      </c>
    </row>
    <row r="598" spans="1:7" ht="11.25" customHeight="1">
      <c r="A598" t="s">
        <v>14</v>
      </c>
      <c r="B598" t="s">
        <v>5536</v>
      </c>
      <c r="C598" t="s">
        <v>5537</v>
      </c>
      <c r="D598" t="s">
        <v>5605</v>
      </c>
      <c r="E598" t="s">
        <v>5606</v>
      </c>
      <c r="F598" t="s">
        <v>3906</v>
      </c>
      <c r="G598" t="s">
        <v>5607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9C881-10E3-B87B-8EF8-43171DBE1EAA}">
  <sheetPr>
    <tabColor rgb="FFFFCC99"/>
  </sheetPr>
  <dimension ref="A1:C3"/>
  <sheetViews>
    <sheetView showGridLines="0" workbookViewId="0"/>
  </sheetViews>
  <sheetFormatPr defaultColWidth="9.140625" defaultRowHeight="11.25" customHeight="1"/>
  <cols>
    <col min="1" max="1" width="9.140625" style="2092"/>
    <col min="2" max="2" width="84.28515625" style="2092" customWidth="1"/>
    <col min="3" max="3" width="9.140625" style="2092"/>
  </cols>
  <sheetData>
    <row r="1" spans="1:3" ht="11.25" customHeight="1">
      <c r="A1" s="752" t="s">
        <v>5617</v>
      </c>
      <c r="B1" s="752" t="s">
        <v>5618</v>
      </c>
      <c r="C1" s="752" t="s">
        <v>1170</v>
      </c>
    </row>
    <row r="2" spans="1:3" ht="11.25" customHeight="1">
      <c r="A2" s="752">
        <v>4189678</v>
      </c>
      <c r="B2" s="752" t="s">
        <v>5619</v>
      </c>
      <c r="C2" s="752" t="s">
        <v>5620</v>
      </c>
    </row>
    <row r="3" spans="1:3" ht="11.25" customHeight="1">
      <c r="A3" s="752">
        <v>4190415</v>
      </c>
      <c r="B3" s="752" t="s">
        <v>5621</v>
      </c>
      <c r="C3" s="752" t="s">
        <v>5620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932CE-AE07-2BDE-0778-3E2FEA5DF36F}">
  <sheetPr>
    <tabColor rgb="FFFFCC99"/>
  </sheetPr>
  <dimension ref="A1:E8"/>
  <sheetViews>
    <sheetView showGridLines="0" workbookViewId="0"/>
  </sheetViews>
  <sheetFormatPr defaultColWidth="9.140625" defaultRowHeight="15" customHeight="1"/>
  <cols>
    <col min="1" max="1" width="38.42578125" style="2094" customWidth="1"/>
    <col min="2" max="5" width="9.140625" style="2094"/>
  </cols>
  <sheetData>
    <row r="1" spans="1:5" ht="15" customHeight="1">
      <c r="A1" s="84" t="s">
        <v>5622</v>
      </c>
      <c r="B1" s="84" t="s">
        <v>5623</v>
      </c>
      <c r="C1" s="84"/>
      <c r="D1" s="84"/>
      <c r="E1" s="84"/>
    </row>
    <row r="2" spans="1:5" ht="15" customHeight="1">
      <c r="A2" s="84"/>
      <c r="B2" s="84"/>
      <c r="C2" s="84"/>
      <c r="D2" s="84"/>
      <c r="E2" s="84"/>
    </row>
    <row r="3" spans="1:5" ht="15" customHeight="1">
      <c r="A3" s="84"/>
      <c r="B3" s="84"/>
      <c r="C3" s="84"/>
      <c r="D3" s="84"/>
      <c r="E3" s="84"/>
    </row>
    <row r="4" spans="1:5" ht="15" customHeight="1">
      <c r="A4" s="84"/>
      <c r="B4" s="84"/>
      <c r="C4" s="84"/>
      <c r="D4" s="84"/>
      <c r="E4" s="84"/>
    </row>
    <row r="5" spans="1:5" ht="15" customHeight="1">
      <c r="A5" s="84"/>
      <c r="B5" s="84"/>
      <c r="C5" s="84"/>
      <c r="D5" s="84"/>
      <c r="E5" s="84"/>
    </row>
    <row r="6" spans="1:5" ht="15" customHeight="1">
      <c r="A6" s="84"/>
      <c r="B6" s="84"/>
      <c r="C6" s="84"/>
      <c r="D6" s="84"/>
      <c r="E6" s="84"/>
    </row>
    <row r="7" spans="1:5" ht="15" customHeight="1">
      <c r="A7" s="84"/>
      <c r="B7" s="84"/>
      <c r="C7" s="84"/>
      <c r="D7" s="84"/>
      <c r="E7" s="84"/>
    </row>
    <row r="8" spans="1:5" ht="15" customHeight="1">
      <c r="A8" s="84"/>
      <c r="B8" s="84"/>
      <c r="C8" s="84"/>
      <c r="D8" s="84"/>
      <c r="E8" s="8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F1794-C5B8-BBEA-CDBF-928D8F5E06C4}">
  <sheetPr>
    <tabColor rgb="FFFFCC99"/>
  </sheetPr>
  <dimension ref="A1:B15"/>
  <sheetViews>
    <sheetView workbookViewId="0"/>
  </sheetViews>
  <sheetFormatPr defaultRowHeight="11.25" customHeight="1"/>
  <sheetData>
    <row r="1" spans="1:2" ht="11.25" customHeight="1">
      <c r="A1" t="s">
        <v>5624</v>
      </c>
      <c r="B1" t="b">
        <v>1</v>
      </c>
    </row>
    <row r="2" spans="1:2" ht="11.25" customHeight="1">
      <c r="A2" t="s">
        <v>5625</v>
      </c>
      <c r="B2" t="b">
        <v>0</v>
      </c>
    </row>
    <row r="3" spans="1:2" ht="11.25" customHeight="1">
      <c r="A3" t="s">
        <v>5626</v>
      </c>
      <c r="B3" t="b">
        <v>0</v>
      </c>
    </row>
    <row r="4" spans="1:2" ht="11.25" customHeight="1">
      <c r="A4" t="s">
        <v>5627</v>
      </c>
      <c r="B4" t="b">
        <v>1</v>
      </c>
    </row>
    <row r="5" spans="1:2" ht="11.25" customHeight="1">
      <c r="A5" t="s">
        <v>5628</v>
      </c>
      <c r="B5" t="b">
        <v>0</v>
      </c>
    </row>
    <row r="6" spans="1:2" ht="11.25" customHeight="1">
      <c r="A6" t="s">
        <v>5629</v>
      </c>
      <c r="B6" t="b">
        <v>0</v>
      </c>
    </row>
    <row r="7" spans="1:2" ht="11.25" customHeight="1">
      <c r="A7" t="s">
        <v>5630</v>
      </c>
      <c r="B7" t="b">
        <v>0</v>
      </c>
    </row>
    <row r="8" spans="1:2" ht="11.25" customHeight="1">
      <c r="A8" t="s">
        <v>5631</v>
      </c>
      <c r="B8" t="b">
        <v>0</v>
      </c>
    </row>
    <row r="9" spans="1:2" ht="11.25" customHeight="1">
      <c r="A9" t="s">
        <v>5632</v>
      </c>
      <c r="B9" t="b">
        <v>1</v>
      </c>
    </row>
    <row r="10" spans="1:2" ht="11.25" customHeight="1">
      <c r="A10" t="s">
        <v>5633</v>
      </c>
      <c r="B10" t="b">
        <v>0</v>
      </c>
    </row>
    <row r="11" spans="1:2" ht="11.25" customHeight="1">
      <c r="A11" t="s">
        <v>5634</v>
      </c>
      <c r="B11" t="b">
        <v>0</v>
      </c>
    </row>
    <row r="12" spans="1:2" ht="11.25" customHeight="1">
      <c r="A12" t="s">
        <v>5635</v>
      </c>
      <c r="B12" t="b">
        <v>0</v>
      </c>
    </row>
    <row r="13" spans="1:2" ht="11.25" customHeight="1">
      <c r="A13" t="s">
        <v>5636</v>
      </c>
      <c r="B13" t="b">
        <v>0</v>
      </c>
    </row>
    <row r="14" spans="1:2" ht="11.25" customHeight="1">
      <c r="A14" t="s">
        <v>5637</v>
      </c>
      <c r="B14" t="b">
        <v>0</v>
      </c>
    </row>
    <row r="15" spans="1:2" ht="11.25" customHeight="1">
      <c r="A15" t="s">
        <v>5638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113C4-F39B-F6A8-BD95-7D72D83E85D7}">
  <sheetPr>
    <tabColor rgb="FFFFCC99"/>
  </sheetPr>
  <dimension ref="A1"/>
  <sheetViews>
    <sheetView showGridLines="0" workbookViewId="0"/>
  </sheetViews>
  <sheetFormatPr defaultColWidth="9.140625" defaultRowHeight="12.75" customHeight="1"/>
  <cols>
    <col min="1" max="1" width="9.140625" style="2095"/>
  </cols>
  <sheetData>
    <row r="1" spans="1:1" ht="12.75" customHeight="1">
      <c r="A1" s="28"/>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592D6-9D99-BEFC-8D8B-B65133B4506E}">
  <sheetPr>
    <tabColor rgb="FFFFCC99"/>
  </sheetPr>
  <dimension ref="A1:B253"/>
  <sheetViews>
    <sheetView showGridLines="0" workbookViewId="0"/>
  </sheetViews>
  <sheetFormatPr defaultColWidth="9.140625" defaultRowHeight="11.25" customHeight="1"/>
  <cols>
    <col min="1" max="1" width="36.28515625" style="2089" customWidth="1"/>
    <col min="2" max="2" width="21.140625" style="2089" customWidth="1"/>
  </cols>
  <sheetData>
    <row r="1" spans="1:2" ht="11.25" customHeight="1">
      <c r="A1" s="4" t="s">
        <v>5639</v>
      </c>
      <c r="B1" s="4" t="s">
        <v>5640</v>
      </c>
    </row>
    <row r="2" spans="1:2" ht="11.25" customHeight="1">
      <c r="A2" s="1" t="s">
        <v>5641</v>
      </c>
      <c r="B2" s="1" t="s">
        <v>5642</v>
      </c>
    </row>
    <row r="3" spans="1:2" ht="11.25" customHeight="1">
      <c r="A3" s="1" t="s">
        <v>5643</v>
      </c>
      <c r="B3" s="1" t="s">
        <v>5644</v>
      </c>
    </row>
    <row r="4" spans="1:2" ht="11.25" customHeight="1">
      <c r="A4" s="1" t="s">
        <v>5645</v>
      </c>
      <c r="B4" s="1" t="s">
        <v>5646</v>
      </c>
    </row>
    <row r="5" spans="1:2" ht="11.25" customHeight="1">
      <c r="A5" s="1" t="s">
        <v>5647</v>
      </c>
      <c r="B5" s="1" t="s">
        <v>5648</v>
      </c>
    </row>
    <row r="6" spans="1:2" ht="11.25" customHeight="1">
      <c r="A6" s="1" t="s">
        <v>5649</v>
      </c>
      <c r="B6" s="1" t="s">
        <v>5650</v>
      </c>
    </row>
    <row r="7" spans="1:2" ht="11.25" customHeight="1">
      <c r="A7" s="1" t="s">
        <v>5651</v>
      </c>
      <c r="B7" s="1" t="s">
        <v>5652</v>
      </c>
    </row>
    <row r="8" spans="1:2" ht="11.25" customHeight="1">
      <c r="A8" s="1" t="s">
        <v>5653</v>
      </c>
      <c r="B8" s="1" t="s">
        <v>5654</v>
      </c>
    </row>
    <row r="9" spans="1:2" ht="11.25" customHeight="1">
      <c r="A9" s="1" t="s">
        <v>5655</v>
      </c>
      <c r="B9" s="1" t="s">
        <v>5656</v>
      </c>
    </row>
    <row r="10" spans="1:2" ht="11.25" customHeight="1">
      <c r="A10" s="1" t="s">
        <v>5657</v>
      </c>
      <c r="B10" s="1" t="s">
        <v>5658</v>
      </c>
    </row>
    <row r="11" spans="1:2" ht="11.25" customHeight="1">
      <c r="A11" s="1" t="s">
        <v>5659</v>
      </c>
      <c r="B11" s="1" t="s">
        <v>5660</v>
      </c>
    </row>
    <row r="12" spans="1:2" ht="11.25" customHeight="1">
      <c r="A12" s="1" t="s">
        <v>5661</v>
      </c>
      <c r="B12" s="1" t="s">
        <v>5662</v>
      </c>
    </row>
    <row r="13" spans="1:2" ht="11.25" customHeight="1">
      <c r="A13" s="1" t="s">
        <v>5663</v>
      </c>
      <c r="B13" s="1" t="s">
        <v>5664</v>
      </c>
    </row>
    <row r="14" spans="1:2" ht="11.25" customHeight="1">
      <c r="A14" s="1" t="s">
        <v>5665</v>
      </c>
      <c r="B14" s="1" t="s">
        <v>5666</v>
      </c>
    </row>
    <row r="15" spans="1:2" ht="11.25" customHeight="1">
      <c r="A15" s="1" t="s">
        <v>5667</v>
      </c>
      <c r="B15" s="1" t="s">
        <v>5668</v>
      </c>
    </row>
    <row r="16" spans="1:2" ht="11.25" customHeight="1">
      <c r="A16" s="1" t="s">
        <v>5669</v>
      </c>
      <c r="B16" s="1" t="s">
        <v>5670</v>
      </c>
    </row>
    <row r="17" spans="1:2" ht="11.25" customHeight="1">
      <c r="A17" s="1" t="s">
        <v>5671</v>
      </c>
      <c r="B17" s="1" t="s">
        <v>5672</v>
      </c>
    </row>
    <row r="18" spans="1:2" ht="11.25" customHeight="1">
      <c r="A18" s="1" t="s">
        <v>5673</v>
      </c>
      <c r="B18" s="1" t="s">
        <v>5674</v>
      </c>
    </row>
    <row r="19" spans="1:2" ht="11.25" customHeight="1">
      <c r="A19" s="1" t="s">
        <v>5675</v>
      </c>
      <c r="B19" s="1" t="s">
        <v>5676</v>
      </c>
    </row>
    <row r="20" spans="1:2" ht="11.25" customHeight="1">
      <c r="A20" s="1" t="s">
        <v>5677</v>
      </c>
      <c r="B20" s="1" t="s">
        <v>5678</v>
      </c>
    </row>
    <row r="21" spans="1:2" ht="11.25" customHeight="1">
      <c r="A21" s="1" t="s">
        <v>5679</v>
      </c>
      <c r="B21" s="1" t="s">
        <v>5680</v>
      </c>
    </row>
    <row r="22" spans="1:2" ht="11.25" customHeight="1">
      <c r="A22" s="1" t="s">
        <v>5681</v>
      </c>
      <c r="B22" s="1" t="s">
        <v>5682</v>
      </c>
    </row>
    <row r="23" spans="1:2" ht="11.25" customHeight="1">
      <c r="A23" s="1" t="s">
        <v>5683</v>
      </c>
      <c r="B23" s="1" t="s">
        <v>5684</v>
      </c>
    </row>
    <row r="24" spans="1:2" ht="11.25" customHeight="1">
      <c r="A24" s="1" t="s">
        <v>5685</v>
      </c>
      <c r="B24" s="1" t="s">
        <v>5686</v>
      </c>
    </row>
    <row r="25" spans="1:2" ht="11.25" customHeight="1">
      <c r="A25" s="1" t="s">
        <v>5687</v>
      </c>
      <c r="B25" s="1" t="s">
        <v>5688</v>
      </c>
    </row>
    <row r="26" spans="1:2" ht="11.25" customHeight="1">
      <c r="A26" s="1" t="s">
        <v>5689</v>
      </c>
      <c r="B26" s="1" t="s">
        <v>5690</v>
      </c>
    </row>
    <row r="27" spans="1:2" ht="11.25" customHeight="1">
      <c r="A27" s="1" t="s">
        <v>5691</v>
      </c>
      <c r="B27" s="1" t="s">
        <v>5692</v>
      </c>
    </row>
    <row r="28" spans="1:2" ht="11.25" customHeight="1">
      <c r="A28" s="1" t="s">
        <v>5693</v>
      </c>
      <c r="B28" s="1" t="s">
        <v>5694</v>
      </c>
    </row>
    <row r="29" spans="1:2" ht="11.25" customHeight="1">
      <c r="A29" s="1" t="s">
        <v>5695</v>
      </c>
      <c r="B29" s="1" t="s">
        <v>5696</v>
      </c>
    </row>
    <row r="30" spans="1:2" ht="11.25" customHeight="1">
      <c r="A30" s="1" t="s">
        <v>5697</v>
      </c>
      <c r="B30" s="1" t="s">
        <v>5698</v>
      </c>
    </row>
    <row r="31" spans="1:2" ht="11.25" customHeight="1">
      <c r="A31" s="1" t="s">
        <v>5699</v>
      </c>
      <c r="B31" s="1" t="s">
        <v>5700</v>
      </c>
    </row>
    <row r="32" spans="1:2" ht="11.25" customHeight="1">
      <c r="A32" s="1" t="s">
        <v>5701</v>
      </c>
      <c r="B32" s="1" t="s">
        <v>5702</v>
      </c>
    </row>
    <row r="33" spans="1:2" ht="11.25" customHeight="1">
      <c r="A33" s="1" t="s">
        <v>5703</v>
      </c>
      <c r="B33" s="1" t="s">
        <v>5704</v>
      </c>
    </row>
    <row r="34" spans="1:2" ht="11.25" customHeight="1">
      <c r="A34" s="1" t="s">
        <v>5705</v>
      </c>
      <c r="B34" s="1" t="s">
        <v>5706</v>
      </c>
    </row>
    <row r="35" spans="1:2" ht="11.25" customHeight="1">
      <c r="A35" s="1" t="s">
        <v>5707</v>
      </c>
      <c r="B35" s="1" t="s">
        <v>5708</v>
      </c>
    </row>
    <row r="36" spans="1:2" ht="11.25" customHeight="1">
      <c r="A36" s="1" t="s">
        <v>5709</v>
      </c>
      <c r="B36" s="1" t="s">
        <v>5710</v>
      </c>
    </row>
    <row r="37" spans="1:2" ht="11.25" customHeight="1">
      <c r="A37" s="1" t="s">
        <v>5711</v>
      </c>
      <c r="B37" s="1" t="s">
        <v>5712</v>
      </c>
    </row>
    <row r="38" spans="1:2" ht="11.25" customHeight="1">
      <c r="A38" s="1" t="s">
        <v>5713</v>
      </c>
      <c r="B38" s="1" t="s">
        <v>5714</v>
      </c>
    </row>
    <row r="39" spans="1:2" ht="11.25" customHeight="1">
      <c r="A39" s="1" t="s">
        <v>5715</v>
      </c>
      <c r="B39" s="1" t="s">
        <v>5716</v>
      </c>
    </row>
    <row r="40" spans="1:2" ht="11.25" customHeight="1">
      <c r="A40" s="1" t="s">
        <v>5717</v>
      </c>
      <c r="B40" s="1" t="s">
        <v>5718</v>
      </c>
    </row>
    <row r="41" spans="1:2" ht="11.25" customHeight="1">
      <c r="A41" s="1" t="s">
        <v>5719</v>
      </c>
      <c r="B41" s="1" t="s">
        <v>5720</v>
      </c>
    </row>
    <row r="42" spans="1:2" ht="11.25" customHeight="1">
      <c r="A42" s="1" t="s">
        <v>5721</v>
      </c>
      <c r="B42" s="1" t="s">
        <v>5722</v>
      </c>
    </row>
    <row r="43" spans="1:2" ht="11.25" customHeight="1">
      <c r="A43" s="1" t="s">
        <v>5723</v>
      </c>
      <c r="B43" s="1" t="s">
        <v>5724</v>
      </c>
    </row>
    <row r="44" spans="1:2" ht="11.25" customHeight="1">
      <c r="A44" s="1" t="s">
        <v>5725</v>
      </c>
      <c r="B44" s="1" t="s">
        <v>5726</v>
      </c>
    </row>
    <row r="45" spans="1:2" ht="11.25" customHeight="1">
      <c r="A45" s="1" t="s">
        <v>5727</v>
      </c>
      <c r="B45" s="1" t="s">
        <v>5728</v>
      </c>
    </row>
    <row r="46" spans="1:2" ht="11.25" customHeight="1">
      <c r="A46" s="1" t="s">
        <v>5729</v>
      </c>
      <c r="B46" s="1" t="s">
        <v>5730</v>
      </c>
    </row>
    <row r="47" spans="1:2" ht="11.25" customHeight="1">
      <c r="A47" s="1" t="s">
        <v>5731</v>
      </c>
      <c r="B47" s="1" t="s">
        <v>5732</v>
      </c>
    </row>
    <row r="48" spans="1:2" ht="11.25" customHeight="1">
      <c r="A48" s="1" t="s">
        <v>5733</v>
      </c>
      <c r="B48" s="1" t="s">
        <v>5734</v>
      </c>
    </row>
    <row r="49" spans="1:2" ht="11.25" customHeight="1">
      <c r="A49" s="1" t="s">
        <v>5735</v>
      </c>
      <c r="B49" s="1" t="s">
        <v>5736</v>
      </c>
    </row>
    <row r="50" spans="1:2" ht="11.25" customHeight="1">
      <c r="A50" s="1" t="s">
        <v>5737</v>
      </c>
      <c r="B50" s="1" t="s">
        <v>5738</v>
      </c>
    </row>
    <row r="51" spans="1:2" ht="11.25" customHeight="1">
      <c r="A51" s="1" t="s">
        <v>5739</v>
      </c>
      <c r="B51" s="1" t="s">
        <v>5740</v>
      </c>
    </row>
    <row r="52" spans="1:2" ht="11.25" customHeight="1">
      <c r="A52" s="1" t="s">
        <v>5741</v>
      </c>
      <c r="B52" s="1" t="s">
        <v>5742</v>
      </c>
    </row>
    <row r="53" spans="1:2" ht="11.25" customHeight="1">
      <c r="A53" s="1" t="s">
        <v>5743</v>
      </c>
      <c r="B53" s="1" t="s">
        <v>5744</v>
      </c>
    </row>
    <row r="54" spans="1:2" ht="11.25" customHeight="1">
      <c r="A54" s="1" t="s">
        <v>5745</v>
      </c>
      <c r="B54" s="1" t="s">
        <v>5746</v>
      </c>
    </row>
    <row r="55" spans="1:2" ht="11.25" customHeight="1">
      <c r="A55" s="1" t="s">
        <v>5747</v>
      </c>
      <c r="B55" s="1" t="s">
        <v>5748</v>
      </c>
    </row>
    <row r="56" spans="1:2" ht="11.25" customHeight="1">
      <c r="A56" s="1" t="s">
        <v>5749</v>
      </c>
      <c r="B56" s="1" t="s">
        <v>5750</v>
      </c>
    </row>
    <row r="57" spans="1:2" ht="11.25" customHeight="1">
      <c r="A57" s="1" t="s">
        <v>5751</v>
      </c>
      <c r="B57" s="1" t="s">
        <v>5752</v>
      </c>
    </row>
    <row r="58" spans="1:2" ht="11.25" customHeight="1">
      <c r="A58" s="1" t="s">
        <v>5753</v>
      </c>
      <c r="B58" s="1" t="s">
        <v>5754</v>
      </c>
    </row>
    <row r="59" spans="1:2" ht="11.25" customHeight="1">
      <c r="A59" s="1" t="s">
        <v>5755</v>
      </c>
      <c r="B59" s="1" t="s">
        <v>5756</v>
      </c>
    </row>
    <row r="60" spans="1:2" ht="11.25" customHeight="1">
      <c r="A60" s="1" t="s">
        <v>5757</v>
      </c>
      <c r="B60" s="1" t="s">
        <v>5758</v>
      </c>
    </row>
    <row r="61" spans="1:2" ht="11.25" customHeight="1">
      <c r="A61" s="1"/>
      <c r="B61" s="1" t="s">
        <v>5759</v>
      </c>
    </row>
    <row r="62" spans="1:2" ht="11.25" customHeight="1">
      <c r="A62" s="1"/>
      <c r="B62" s="1" t="s">
        <v>5760</v>
      </c>
    </row>
    <row r="63" spans="1:2" ht="11.25" customHeight="1">
      <c r="A63" s="1"/>
      <c r="B63" s="1" t="s">
        <v>5761</v>
      </c>
    </row>
    <row r="64" spans="1:2" ht="11.25" customHeight="1">
      <c r="A64" s="1"/>
      <c r="B64" s="1" t="s">
        <v>5762</v>
      </c>
    </row>
    <row r="65" spans="1:2" ht="11.25" customHeight="1">
      <c r="A65" s="1"/>
      <c r="B65" s="1" t="s">
        <v>5763</v>
      </c>
    </row>
    <row r="66" spans="1:2" ht="11.25" customHeight="1">
      <c r="A66" s="1"/>
      <c r="B66" s="1" t="s">
        <v>5764</v>
      </c>
    </row>
    <row r="67" spans="1:2" ht="11.25" customHeight="1">
      <c r="A67" s="1"/>
      <c r="B67" s="1" t="s">
        <v>5765</v>
      </c>
    </row>
    <row r="68" spans="1:2" ht="11.25" customHeight="1">
      <c r="A68" s="1"/>
      <c r="B68" s="1" t="s">
        <v>5766</v>
      </c>
    </row>
    <row r="69" spans="1:2" ht="11.25" customHeight="1">
      <c r="A69" s="1"/>
      <c r="B69" s="1" t="s">
        <v>5767</v>
      </c>
    </row>
    <row r="70" spans="1:2" ht="11.25" customHeight="1">
      <c r="A70" s="1"/>
      <c r="B70" s="1" t="s">
        <v>5768</v>
      </c>
    </row>
    <row r="71" spans="1:2" ht="11.25" customHeight="1">
      <c r="A71" s="1"/>
      <c r="B71" s="1"/>
    </row>
    <row r="72" spans="1:2" ht="11.25" customHeight="1">
      <c r="A72" s="1"/>
      <c r="B72" s="1"/>
    </row>
    <row r="73" spans="1:2" ht="11.25" customHeight="1">
      <c r="A73" s="1"/>
      <c r="B73" s="1"/>
    </row>
    <row r="74" spans="1:2" ht="11.25" customHeight="1">
      <c r="A74" s="1"/>
      <c r="B74" s="1"/>
    </row>
    <row r="75" spans="1:2" ht="11.25" customHeight="1">
      <c r="A75" s="1"/>
      <c r="B75" s="1"/>
    </row>
    <row r="76" spans="1:2" ht="11.25" customHeight="1">
      <c r="A76" s="1"/>
      <c r="B76" s="1"/>
    </row>
    <row r="77" spans="1:2" ht="11.25" customHeight="1">
      <c r="A77" s="1"/>
      <c r="B77" s="1"/>
    </row>
    <row r="78" spans="1:2" ht="11.25" customHeight="1">
      <c r="A78" s="1"/>
      <c r="B78" s="1"/>
    </row>
    <row r="79" spans="1:2" ht="11.25" customHeight="1">
      <c r="A79" s="1"/>
      <c r="B79" s="1"/>
    </row>
    <row r="80" spans="1:2" ht="11.25" customHeight="1">
      <c r="A80" s="1"/>
      <c r="B80" s="1"/>
    </row>
    <row r="81" spans="1:2" ht="11.25" customHeight="1">
      <c r="A81" s="1"/>
      <c r="B81" s="1"/>
    </row>
    <row r="82" spans="1:2" ht="11.25" customHeight="1">
      <c r="A82" s="1"/>
      <c r="B82" s="1"/>
    </row>
    <row r="83" spans="1:2" ht="11.25" customHeight="1">
      <c r="A83" s="1"/>
      <c r="B83" s="1"/>
    </row>
    <row r="84" spans="1:2" ht="11.25" customHeight="1">
      <c r="A84" s="1"/>
      <c r="B84" s="1"/>
    </row>
    <row r="85" spans="1:2" ht="11.25" customHeight="1">
      <c r="A85" s="1"/>
      <c r="B85" s="1"/>
    </row>
    <row r="86" spans="1:2" ht="11.25" customHeight="1">
      <c r="A86" s="1"/>
      <c r="B86" s="1"/>
    </row>
    <row r="87" spans="1:2" ht="11.25" customHeight="1">
      <c r="A87" s="1"/>
      <c r="B87" s="1"/>
    </row>
    <row r="88" spans="1:2" ht="11.25" customHeight="1">
      <c r="A88" s="1"/>
      <c r="B88" s="1"/>
    </row>
    <row r="89" spans="1:2" ht="11.25" customHeight="1">
      <c r="A89" s="1"/>
      <c r="B89" s="1"/>
    </row>
    <row r="90" spans="1:2" ht="11.25" customHeight="1">
      <c r="A90" s="1"/>
      <c r="B90" s="1"/>
    </row>
    <row r="91" spans="1:2" ht="11.25" customHeight="1">
      <c r="A91" s="1"/>
      <c r="B91" s="1"/>
    </row>
    <row r="92" spans="1:2" ht="11.25" customHeight="1">
      <c r="A92" s="1"/>
      <c r="B92" s="1"/>
    </row>
    <row r="93" spans="1:2" ht="11.25" customHeight="1">
      <c r="A93" s="1"/>
      <c r="B93" s="1"/>
    </row>
    <row r="94" spans="1:2" ht="11.25" customHeight="1">
      <c r="A94" s="1"/>
      <c r="B94" s="1"/>
    </row>
    <row r="95" spans="1:2" ht="11.25" customHeight="1">
      <c r="A95" s="1"/>
      <c r="B95" s="1"/>
    </row>
    <row r="96" spans="1:2" ht="11.25" customHeight="1">
      <c r="A96" s="1"/>
      <c r="B96" s="1"/>
    </row>
    <row r="97" spans="1:2" ht="11.25" customHeight="1">
      <c r="A97" s="1"/>
      <c r="B97" s="1"/>
    </row>
    <row r="98" spans="1:2" ht="11.25" customHeight="1">
      <c r="A98" s="1"/>
      <c r="B98" s="1"/>
    </row>
    <row r="99" spans="1:2" ht="11.25" customHeight="1">
      <c r="A99" s="1"/>
      <c r="B99" s="1"/>
    </row>
    <row r="100" spans="1:2" ht="11.25" customHeight="1">
      <c r="A100" s="1"/>
      <c r="B100" s="1"/>
    </row>
    <row r="101" spans="1:2" ht="11.25" customHeight="1">
      <c r="A101" s="1"/>
      <c r="B101" s="1"/>
    </row>
    <row r="102" spans="1:2" ht="11.25" customHeight="1">
      <c r="A102" s="1"/>
      <c r="B102" s="1"/>
    </row>
    <row r="103" spans="1:2" ht="11.25" customHeight="1">
      <c r="A103" s="1"/>
      <c r="B103" s="1"/>
    </row>
    <row r="104" spans="1:2" ht="11.25" customHeight="1">
      <c r="A104" s="1"/>
      <c r="B104" s="1"/>
    </row>
    <row r="105" spans="1:2" ht="11.25" customHeight="1">
      <c r="A105" s="1"/>
      <c r="B105" s="1"/>
    </row>
    <row r="106" spans="1:2" ht="11.25" customHeight="1">
      <c r="A106" s="1"/>
      <c r="B106" s="1"/>
    </row>
    <row r="107" spans="1:2" ht="11.25" customHeight="1">
      <c r="A107" s="1"/>
      <c r="B107" s="1"/>
    </row>
    <row r="108" spans="1:2" ht="11.25" customHeight="1">
      <c r="A108" s="1"/>
      <c r="B108" s="1"/>
    </row>
    <row r="109" spans="1:2" ht="11.25" customHeight="1">
      <c r="A109" s="1"/>
      <c r="B109" s="1"/>
    </row>
    <row r="110" spans="1:2" ht="11.25" customHeight="1">
      <c r="A110" s="1"/>
      <c r="B110" s="1"/>
    </row>
    <row r="111" spans="1:2" ht="11.25" customHeight="1">
      <c r="A111" s="1"/>
      <c r="B111" s="1"/>
    </row>
    <row r="112" spans="1:2" ht="11.25" customHeight="1">
      <c r="A112" s="1"/>
      <c r="B112" s="1"/>
    </row>
    <row r="113" spans="1:2" ht="11.25" customHeight="1">
      <c r="A113" s="1"/>
      <c r="B113" s="1"/>
    </row>
    <row r="114" spans="1:2" ht="11.25" customHeight="1">
      <c r="A114" s="1"/>
      <c r="B114" s="1"/>
    </row>
    <row r="115" spans="1:2" ht="11.25" customHeight="1">
      <c r="A115" s="1"/>
      <c r="B115" s="1"/>
    </row>
    <row r="116" spans="1:2" ht="11.25" customHeight="1">
      <c r="A116" s="1"/>
      <c r="B116" s="1"/>
    </row>
    <row r="117" spans="1:2" ht="11.25" customHeight="1">
      <c r="A117" s="1"/>
      <c r="B117" s="1"/>
    </row>
    <row r="118" spans="1:2" ht="11.25" customHeight="1">
      <c r="A118" s="1"/>
      <c r="B118" s="1"/>
    </row>
    <row r="119" spans="1:2" ht="11.25" customHeight="1">
      <c r="A119" s="1"/>
      <c r="B119" s="1"/>
    </row>
    <row r="120" spans="1:2" ht="11.25" customHeight="1">
      <c r="A120" s="1"/>
      <c r="B120" s="1"/>
    </row>
    <row r="121" spans="1:2" ht="11.25" customHeight="1">
      <c r="A121" s="1"/>
      <c r="B121" s="1"/>
    </row>
    <row r="122" spans="1:2" ht="11.25" customHeight="1">
      <c r="A122" s="1"/>
      <c r="B122" s="1"/>
    </row>
    <row r="123" spans="1:2" ht="11.25" customHeight="1">
      <c r="A123" s="1"/>
      <c r="B123" s="1"/>
    </row>
    <row r="124" spans="1:2" ht="11.25" customHeight="1">
      <c r="A124" s="1"/>
      <c r="B124" s="1"/>
    </row>
    <row r="125" spans="1:2" ht="11.25" customHeight="1">
      <c r="A125" s="1"/>
      <c r="B125" s="1"/>
    </row>
    <row r="126" spans="1:2" ht="11.25" customHeight="1">
      <c r="A126" s="1"/>
      <c r="B126" s="1"/>
    </row>
    <row r="127" spans="1:2" ht="11.25" customHeight="1">
      <c r="A127" s="1"/>
      <c r="B127" s="1"/>
    </row>
    <row r="128" spans="1:2" ht="11.25" customHeight="1">
      <c r="A128" s="1"/>
      <c r="B128" s="1"/>
    </row>
    <row r="129" spans="1:2" ht="11.25" customHeight="1">
      <c r="A129" s="1"/>
      <c r="B129" s="1"/>
    </row>
    <row r="130" spans="1:2" ht="11.25" customHeight="1">
      <c r="A130" s="1"/>
      <c r="B130" s="1"/>
    </row>
    <row r="131" spans="1:2" ht="11.25" customHeight="1">
      <c r="A131" s="1"/>
      <c r="B131" s="1"/>
    </row>
    <row r="132" spans="1:2" ht="11.25" customHeight="1">
      <c r="A132" s="1"/>
      <c r="B132" s="1"/>
    </row>
    <row r="133" spans="1:2" ht="11.25" customHeight="1">
      <c r="A133" s="1"/>
      <c r="B133" s="1"/>
    </row>
    <row r="134" spans="1:2" ht="11.25" customHeight="1">
      <c r="A134" s="1"/>
      <c r="B134" s="1"/>
    </row>
    <row r="135" spans="1:2" ht="11.25" customHeight="1">
      <c r="A135" s="1"/>
      <c r="B135" s="1"/>
    </row>
    <row r="136" spans="1:2" ht="11.25" customHeight="1">
      <c r="A136" s="1"/>
      <c r="B136" s="1"/>
    </row>
    <row r="137" spans="1:2" ht="11.25" customHeight="1">
      <c r="A137" s="1"/>
      <c r="B137" s="1"/>
    </row>
    <row r="138" spans="1:2" ht="11.25" customHeight="1">
      <c r="A138" s="1"/>
      <c r="B138" s="1"/>
    </row>
    <row r="139" spans="1:2" ht="11.25" customHeight="1">
      <c r="A139" s="1"/>
      <c r="B139" s="1"/>
    </row>
    <row r="140" spans="1:2" ht="11.25" customHeight="1">
      <c r="A140" s="1"/>
      <c r="B140" s="1"/>
    </row>
    <row r="141" spans="1:2" ht="11.25" customHeight="1">
      <c r="A141" s="1"/>
      <c r="B141" s="1"/>
    </row>
    <row r="142" spans="1:2" ht="11.25" customHeight="1">
      <c r="A142" s="1"/>
      <c r="B142" s="1"/>
    </row>
    <row r="143" spans="1:2" ht="11.25" customHeight="1">
      <c r="A143" s="1"/>
      <c r="B143" s="1"/>
    </row>
    <row r="144" spans="1:2" ht="11.25" customHeight="1">
      <c r="A144" s="1"/>
      <c r="B144" s="1"/>
    </row>
    <row r="145" spans="1:2" ht="11.25" customHeight="1">
      <c r="A145" s="1"/>
      <c r="B145" s="1"/>
    </row>
    <row r="146" spans="1:2" ht="11.25" customHeight="1">
      <c r="A146" s="1"/>
      <c r="B146" s="1"/>
    </row>
    <row r="147" spans="1:2" ht="11.25" customHeight="1">
      <c r="A147" s="1"/>
      <c r="B147" s="1"/>
    </row>
    <row r="148" spans="1:2" ht="11.25" customHeight="1">
      <c r="A148" s="1"/>
      <c r="B148" s="1"/>
    </row>
    <row r="149" spans="1:2" ht="11.25" customHeight="1">
      <c r="A149" s="1"/>
      <c r="B149" s="1"/>
    </row>
    <row r="150" spans="1:2" ht="11.25" customHeight="1">
      <c r="A150" s="1"/>
      <c r="B150" s="1"/>
    </row>
    <row r="151" spans="1:2" ht="11.25" customHeight="1">
      <c r="A151" s="1"/>
      <c r="B151" s="1"/>
    </row>
    <row r="152" spans="1:2" ht="11.25" customHeight="1">
      <c r="A152" s="1"/>
      <c r="B152" s="1"/>
    </row>
    <row r="153" spans="1:2" ht="11.25" customHeight="1">
      <c r="A153" s="1"/>
      <c r="B153" s="1"/>
    </row>
    <row r="154" spans="1:2" ht="11.25" customHeight="1">
      <c r="A154" s="1"/>
      <c r="B154" s="1"/>
    </row>
    <row r="155" spans="1:2" ht="11.25" customHeight="1">
      <c r="A155" s="1"/>
      <c r="B155" s="1"/>
    </row>
    <row r="156" spans="1:2" ht="11.25" customHeight="1">
      <c r="A156" s="1"/>
      <c r="B156" s="1"/>
    </row>
    <row r="157" spans="1:2" ht="11.25" customHeight="1">
      <c r="A157" s="1"/>
      <c r="B157" s="1"/>
    </row>
    <row r="158" spans="1:2" ht="11.25" customHeight="1">
      <c r="A158" s="1"/>
      <c r="B158" s="1"/>
    </row>
    <row r="159" spans="1:2" ht="11.25" customHeight="1">
      <c r="A159" s="1"/>
      <c r="B159" s="1"/>
    </row>
    <row r="160" spans="1:2" ht="11.25" customHeight="1">
      <c r="A160" s="1"/>
      <c r="B160" s="1"/>
    </row>
    <row r="161" spans="1:2" ht="11.25" customHeight="1">
      <c r="A161" s="1"/>
      <c r="B161" s="1"/>
    </row>
    <row r="162" spans="1:2" ht="11.25" customHeight="1">
      <c r="A162" s="1"/>
      <c r="B162" s="1"/>
    </row>
    <row r="163" spans="1:2" ht="11.25" customHeight="1">
      <c r="A163" s="1"/>
      <c r="B163" s="1"/>
    </row>
    <row r="164" spans="1:2" ht="11.25" customHeight="1">
      <c r="A164" s="1"/>
      <c r="B164" s="1"/>
    </row>
    <row r="165" spans="1:2" ht="11.25" customHeight="1">
      <c r="A165" s="1"/>
      <c r="B165" s="1"/>
    </row>
    <row r="166" spans="1:2" ht="11.25" customHeight="1">
      <c r="A166" s="1"/>
      <c r="B166" s="1"/>
    </row>
    <row r="167" spans="1:2" ht="11.25" customHeight="1">
      <c r="A167" s="1"/>
      <c r="B167" s="1"/>
    </row>
    <row r="168" spans="1:2" ht="11.25" customHeight="1">
      <c r="A168" s="1"/>
      <c r="B168" s="1"/>
    </row>
    <row r="169" spans="1:2" ht="11.25" customHeight="1">
      <c r="A169" s="1"/>
      <c r="B169" s="1"/>
    </row>
    <row r="170" spans="1:2" ht="11.25" customHeight="1">
      <c r="A170" s="1"/>
      <c r="B170" s="1"/>
    </row>
    <row r="171" spans="1:2" ht="11.25" customHeight="1">
      <c r="A171" s="1"/>
      <c r="B171" s="1"/>
    </row>
    <row r="172" spans="1:2" ht="11.25" customHeight="1">
      <c r="A172" s="1"/>
      <c r="B172" s="1"/>
    </row>
    <row r="173" spans="1:2" ht="11.25" customHeight="1">
      <c r="A173" s="1"/>
      <c r="B173" s="1"/>
    </row>
    <row r="174" spans="1:2" ht="11.25" customHeight="1">
      <c r="A174" s="1"/>
      <c r="B174" s="1"/>
    </row>
    <row r="175" spans="1:2" ht="11.25" customHeight="1">
      <c r="A175" s="1"/>
      <c r="B175" s="1"/>
    </row>
    <row r="176" spans="1:2" ht="11.25" customHeight="1">
      <c r="A176" s="1"/>
      <c r="B176" s="1"/>
    </row>
    <row r="177" spans="1:2" ht="11.25" customHeight="1">
      <c r="A177" s="1"/>
      <c r="B177" s="1"/>
    </row>
    <row r="178" spans="1:2" ht="11.25" customHeight="1">
      <c r="A178" s="1"/>
      <c r="B178" s="1"/>
    </row>
    <row r="179" spans="1:2" ht="11.25" customHeight="1">
      <c r="A179" s="1"/>
      <c r="B179" s="1"/>
    </row>
    <row r="180" spans="1:2" ht="11.25" customHeight="1">
      <c r="A180" s="1"/>
      <c r="B180" s="1"/>
    </row>
    <row r="181" spans="1:2" ht="11.25" customHeight="1">
      <c r="A181" s="1"/>
      <c r="B181" s="1"/>
    </row>
    <row r="182" spans="1:2" ht="11.25" customHeight="1">
      <c r="A182" s="1"/>
      <c r="B182" s="1"/>
    </row>
    <row r="183" spans="1:2" ht="11.25" customHeight="1">
      <c r="A183" s="1"/>
      <c r="B183" s="1"/>
    </row>
    <row r="184" spans="1:2" ht="11.25" customHeight="1">
      <c r="A184" s="1"/>
      <c r="B184" s="1"/>
    </row>
    <row r="185" spans="1:2" ht="11.25" customHeight="1">
      <c r="A185" s="1"/>
      <c r="B185" s="1"/>
    </row>
    <row r="186" spans="1:2" ht="11.25" customHeight="1">
      <c r="A186" s="1"/>
      <c r="B186" s="1"/>
    </row>
    <row r="187" spans="1:2" ht="11.25" customHeight="1">
      <c r="A187" s="1"/>
      <c r="B187" s="1"/>
    </row>
    <row r="188" spans="1:2" ht="11.25" customHeight="1">
      <c r="A188" s="1"/>
      <c r="B188" s="1"/>
    </row>
    <row r="189" spans="1:2" ht="11.25" customHeight="1">
      <c r="A189" s="1"/>
      <c r="B189" s="1"/>
    </row>
    <row r="190" spans="1:2" ht="11.25" customHeight="1">
      <c r="A190" s="1"/>
      <c r="B190" s="1"/>
    </row>
    <row r="191" spans="1:2" ht="11.25" customHeight="1">
      <c r="A191" s="1"/>
      <c r="B191" s="1"/>
    </row>
    <row r="192" spans="1:2" ht="11.25" customHeight="1">
      <c r="A192" s="1"/>
      <c r="B192" s="1"/>
    </row>
    <row r="193" spans="1:2" ht="11.25" customHeight="1">
      <c r="A193" s="1"/>
      <c r="B193" s="1"/>
    </row>
    <row r="194" spans="1:2" ht="11.25" customHeight="1">
      <c r="A194" s="1"/>
      <c r="B194" s="1"/>
    </row>
    <row r="195" spans="1:2" ht="11.25" customHeight="1">
      <c r="A195" s="1"/>
      <c r="B195" s="1"/>
    </row>
    <row r="196" spans="1:2" ht="11.25" customHeight="1">
      <c r="A196" s="1"/>
      <c r="B196" s="1"/>
    </row>
    <row r="197" spans="1:2" ht="11.25" customHeight="1">
      <c r="A197" s="1"/>
      <c r="B197" s="1"/>
    </row>
    <row r="198" spans="1:2" ht="11.25" customHeight="1">
      <c r="A198" s="1"/>
      <c r="B198" s="1"/>
    </row>
    <row r="199" spans="1:2" ht="11.25" customHeight="1">
      <c r="A199" s="1"/>
      <c r="B199" s="1"/>
    </row>
    <row r="200" spans="1:2" ht="11.25" customHeight="1">
      <c r="A200" s="1"/>
      <c r="B200" s="1"/>
    </row>
    <row r="201" spans="1:2" ht="11.25" customHeight="1">
      <c r="A201" s="1"/>
      <c r="B201" s="1"/>
    </row>
    <row r="202" spans="1:2" ht="11.25" customHeight="1">
      <c r="A202" s="1"/>
      <c r="B202" s="1"/>
    </row>
    <row r="203" spans="1:2" ht="11.25" customHeight="1">
      <c r="A203" s="1"/>
      <c r="B203" s="1"/>
    </row>
    <row r="204" spans="1:2" ht="11.25" customHeight="1">
      <c r="A204" s="1"/>
      <c r="B204" s="1"/>
    </row>
    <row r="205" spans="1:2" ht="11.25" customHeight="1">
      <c r="A205" s="1"/>
      <c r="B205" s="1"/>
    </row>
    <row r="206" spans="1:2" ht="11.25" customHeight="1">
      <c r="A206" s="1"/>
      <c r="B206" s="1"/>
    </row>
    <row r="207" spans="1:2" ht="11.25" customHeight="1">
      <c r="A207" s="1"/>
      <c r="B207" s="1"/>
    </row>
    <row r="208" spans="1:2" ht="11.25" customHeight="1">
      <c r="A208" s="1"/>
      <c r="B208" s="1"/>
    </row>
    <row r="209" spans="1:2" ht="11.25" customHeight="1">
      <c r="A209" s="1"/>
      <c r="B209" s="1"/>
    </row>
    <row r="210" spans="1:2" ht="11.25" customHeight="1">
      <c r="A210" s="1"/>
      <c r="B210" s="1"/>
    </row>
    <row r="211" spans="1:2" ht="11.25" customHeight="1">
      <c r="A211" s="1"/>
      <c r="B211" s="1"/>
    </row>
    <row r="212" spans="1:2" ht="11.25" customHeight="1">
      <c r="A212" s="1"/>
      <c r="B212" s="1"/>
    </row>
    <row r="213" spans="1:2" ht="11.25" customHeight="1">
      <c r="A213" s="1"/>
      <c r="B213" s="1"/>
    </row>
    <row r="214" spans="1:2" ht="11.25" customHeight="1">
      <c r="A214" s="1"/>
      <c r="B214" s="1"/>
    </row>
    <row r="215" spans="1:2" ht="11.25" customHeight="1">
      <c r="A215" s="1"/>
      <c r="B215" s="1"/>
    </row>
    <row r="216" spans="1:2" ht="11.25" customHeight="1">
      <c r="A216" s="1"/>
      <c r="B216" s="1"/>
    </row>
    <row r="217" spans="1:2" ht="11.25" customHeight="1">
      <c r="A217" s="1"/>
      <c r="B217" s="1"/>
    </row>
    <row r="218" spans="1:2" ht="11.25" customHeight="1">
      <c r="A218" s="1"/>
      <c r="B218" s="1"/>
    </row>
    <row r="219" spans="1:2" ht="11.25" customHeight="1">
      <c r="A219" s="1"/>
      <c r="B219" s="1"/>
    </row>
    <row r="220" spans="1:2" ht="11.25" customHeight="1">
      <c r="A220" s="1"/>
      <c r="B220" s="1"/>
    </row>
    <row r="221" spans="1:2" ht="11.25" customHeight="1">
      <c r="A221" s="1"/>
      <c r="B221" s="1"/>
    </row>
    <row r="222" spans="1:2" ht="11.25" customHeight="1">
      <c r="A222" s="1"/>
      <c r="B222" s="1"/>
    </row>
    <row r="223" spans="1:2" ht="11.25" customHeight="1">
      <c r="A223" s="1"/>
      <c r="B223" s="1"/>
    </row>
    <row r="224" spans="1:2" ht="11.25" customHeight="1">
      <c r="A224" s="1"/>
      <c r="B224" s="1"/>
    </row>
    <row r="225" spans="1:2" ht="11.25" customHeight="1">
      <c r="A225" s="1"/>
      <c r="B225" s="1"/>
    </row>
    <row r="226" spans="1:2" ht="11.25" customHeight="1">
      <c r="A226" s="1"/>
      <c r="B226" s="1"/>
    </row>
    <row r="227" spans="1:2" ht="11.25" customHeight="1">
      <c r="A227" s="1"/>
      <c r="B227" s="1"/>
    </row>
    <row r="228" spans="1:2" ht="11.25" customHeight="1">
      <c r="A228" s="1"/>
      <c r="B228" s="1"/>
    </row>
    <row r="229" spans="1:2" ht="11.25" customHeight="1">
      <c r="A229" s="1"/>
      <c r="B229" s="1"/>
    </row>
    <row r="230" spans="1:2" ht="11.25" customHeight="1">
      <c r="A230" s="1"/>
      <c r="B230" s="1"/>
    </row>
    <row r="231" spans="1:2" ht="11.25" customHeight="1">
      <c r="A231" s="1"/>
      <c r="B231" s="1"/>
    </row>
    <row r="232" spans="1:2" ht="11.25" customHeight="1">
      <c r="A232" s="1"/>
      <c r="B232" s="1"/>
    </row>
    <row r="233" spans="1:2" ht="11.25" customHeight="1">
      <c r="A233" s="1"/>
      <c r="B233" s="1"/>
    </row>
    <row r="234" spans="1:2" ht="11.25" customHeight="1">
      <c r="A234" s="1"/>
      <c r="B234" s="1"/>
    </row>
    <row r="235" spans="1:2" ht="11.25" customHeight="1">
      <c r="A235" s="1"/>
      <c r="B235" s="1"/>
    </row>
    <row r="236" spans="1:2" ht="11.25" customHeight="1">
      <c r="A236" s="1"/>
      <c r="B236" s="1"/>
    </row>
    <row r="237" spans="1:2" ht="11.25" customHeight="1">
      <c r="A237" s="1"/>
      <c r="B237" s="1"/>
    </row>
    <row r="238" spans="1:2" ht="11.25" customHeight="1">
      <c r="A238" s="1"/>
      <c r="B238" s="1"/>
    </row>
    <row r="239" spans="1:2" ht="11.25" customHeight="1">
      <c r="A239" s="1"/>
      <c r="B239" s="1"/>
    </row>
    <row r="240" spans="1:2" ht="11.25" customHeight="1">
      <c r="A240" s="1"/>
      <c r="B240" s="1"/>
    </row>
    <row r="241" spans="1:2" ht="11.25" customHeight="1">
      <c r="A241" s="1"/>
      <c r="B241" s="1"/>
    </row>
    <row r="242" spans="1:2" ht="11.25" customHeight="1">
      <c r="A242" s="1"/>
      <c r="B242" s="1"/>
    </row>
    <row r="243" spans="1:2" ht="11.25" customHeight="1">
      <c r="A243" s="1"/>
      <c r="B243" s="1"/>
    </row>
    <row r="244" spans="1:2" ht="11.25" customHeight="1">
      <c r="A244" s="1"/>
      <c r="B244" s="1"/>
    </row>
    <row r="245" spans="1:2" ht="11.25" customHeight="1">
      <c r="A245" s="1"/>
      <c r="B245" s="1"/>
    </row>
    <row r="246" spans="1:2" ht="11.25" customHeight="1">
      <c r="A246" s="1"/>
      <c r="B246" s="1"/>
    </row>
    <row r="247" spans="1:2" ht="11.25" customHeight="1">
      <c r="A247" s="1"/>
      <c r="B247" s="1"/>
    </row>
    <row r="248" spans="1:2" ht="11.25" customHeight="1">
      <c r="A248" s="1"/>
      <c r="B248" s="1"/>
    </row>
    <row r="249" spans="1:2" ht="11.25" customHeight="1">
      <c r="A249" s="1"/>
      <c r="B249" s="1"/>
    </row>
    <row r="250" spans="1:2" ht="11.25" customHeight="1">
      <c r="A250" s="1"/>
      <c r="B250" s="1"/>
    </row>
    <row r="251" spans="1:2" ht="11.25" customHeight="1">
      <c r="A251" s="1"/>
      <c r="B251" s="1"/>
    </row>
    <row r="252" spans="1:2" ht="11.25" customHeight="1">
      <c r="A252" s="1"/>
      <c r="B252" s="1"/>
    </row>
    <row r="253" spans="1:2" ht="11.25" customHeight="1">
      <c r="A253" s="1"/>
      <c r="B253" s="1"/>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FAFDA-2516-72B9-A9A9-2A9DABAD2304}">
  <sheetPr>
    <tabColor rgb="FFFFCC99"/>
  </sheetPr>
  <dimension ref="A1:D36"/>
  <sheetViews>
    <sheetView showGridLines="0" workbookViewId="0"/>
  </sheetViews>
  <sheetFormatPr defaultColWidth="9.140625" defaultRowHeight="11.25" customHeight="1"/>
  <cols>
    <col min="1" max="1" width="3.7109375" style="1803" customWidth="1"/>
    <col min="2" max="2" width="90.7109375" style="1803" customWidth="1"/>
    <col min="3" max="4" width="9.140625" style="1803"/>
  </cols>
  <sheetData>
    <row r="1" spans="2:4" ht="11.25" customHeight="1">
      <c r="B1" s="26" t="s">
        <v>5769</v>
      </c>
    </row>
    <row r="2" spans="2:4" ht="90" customHeight="1">
      <c r="B2" s="27" t="s">
        <v>5770</v>
      </c>
    </row>
    <row r="3" spans="2:4" ht="67.5" customHeight="1">
      <c r="B3" s="27" t="s">
        <v>5771</v>
      </c>
    </row>
    <row r="4" spans="2:4" ht="33.75" customHeight="1">
      <c r="B4" s="27" t="s">
        <v>5772</v>
      </c>
    </row>
    <row r="5" spans="2:4" ht="11.25" customHeight="1">
      <c r="B5" s="27" t="s">
        <v>5773</v>
      </c>
    </row>
    <row r="6" spans="2:4" ht="22.5" customHeight="1">
      <c r="B6" s="27" t="s">
        <v>5774</v>
      </c>
    </row>
    <row r="7" spans="2:4" ht="22.5" customHeight="1">
      <c r="B7" s="27" t="s">
        <v>5775</v>
      </c>
    </row>
    <row r="8" spans="2:4" ht="22.5" customHeight="1">
      <c r="B8" s="27" t="s">
        <v>5776</v>
      </c>
    </row>
    <row r="9" spans="2:4" ht="22.5" customHeight="1">
      <c r="B9" s="27" t="s">
        <v>5777</v>
      </c>
    </row>
    <row r="10" spans="2:4" ht="56.25" customHeight="1">
      <c r="B10" s="27" t="s">
        <v>5778</v>
      </c>
    </row>
    <row r="11" spans="2:4" ht="12.75" customHeight="1">
      <c r="B11" s="81" t="s">
        <v>5779</v>
      </c>
    </row>
    <row r="12" spans="2:4" ht="11.25" customHeight="1">
      <c r="B12" s="26" t="s">
        <v>5780</v>
      </c>
    </row>
    <row r="13" spans="2:4" ht="22.5" customHeight="1">
      <c r="B13" s="27" t="s">
        <v>5781</v>
      </c>
    </row>
    <row r="14" spans="2:4" ht="67.5" customHeight="1">
      <c r="B14" s="27" t="s">
        <v>5782</v>
      </c>
    </row>
    <row r="15" spans="2:4" ht="22.5" customHeight="1">
      <c r="B15" s="27" t="s">
        <v>5783</v>
      </c>
    </row>
    <row r="16" spans="2:4" ht="11.25" customHeight="1">
      <c r="B16" s="26" t="s">
        <v>5784</v>
      </c>
      <c r="D16" s="33"/>
    </row>
    <row r="17" spans="1:2" ht="33.75" customHeight="1">
      <c r="B17" s="27" t="s">
        <v>5785</v>
      </c>
    </row>
    <row r="18" spans="1:2" ht="33.75" customHeight="1">
      <c r="B18" s="27" t="s">
        <v>5786</v>
      </c>
    </row>
    <row r="19" spans="1:2" ht="11.25" customHeight="1">
      <c r="B19" s="27" t="s">
        <v>5787</v>
      </c>
    </row>
    <row r="20" spans="1:2" ht="33.75" customHeight="1">
      <c r="B20" s="27" t="s">
        <v>5788</v>
      </c>
    </row>
    <row r="21" spans="1:2" ht="11.25" customHeight="1">
      <c r="B21" s="26" t="s">
        <v>5789</v>
      </c>
    </row>
    <row r="22" spans="1:2" ht="11.25" customHeight="1">
      <c r="B22" s="27" t="s">
        <v>5790</v>
      </c>
    </row>
    <row r="24" spans="1:2" ht="22.5" customHeight="1">
      <c r="B24" s="83" t="s">
        <v>5791</v>
      </c>
    </row>
    <row r="26" spans="1:2" ht="11.25" customHeight="1">
      <c r="B26" s="26" t="s">
        <v>5792</v>
      </c>
    </row>
    <row r="27" spans="1:2" ht="22.5" customHeight="1">
      <c r="B27" s="82" t="s">
        <v>387</v>
      </c>
    </row>
    <row r="28" spans="1:2" ht="56.25" customHeight="1">
      <c r="B28" s="82" t="s">
        <v>5793</v>
      </c>
    </row>
    <row r="29" spans="1:2" ht="11.25" customHeight="1">
      <c r="B29" s="131" t="s">
        <v>5794</v>
      </c>
    </row>
    <row r="30" spans="1:2" ht="22.5" customHeight="1">
      <c r="B30" s="82" t="s">
        <v>5795</v>
      </c>
    </row>
    <row r="32" spans="1:2" ht="11.25" customHeight="1">
      <c r="A32" s="109"/>
      <c r="B32" s="110" t="s">
        <v>5796</v>
      </c>
    </row>
    <row r="33" spans="1:2" ht="14.25" customHeight="1">
      <c r="A33" s="111">
        <v>1</v>
      </c>
      <c r="B33" s="112" t="s">
        <v>5797</v>
      </c>
    </row>
    <row r="34" spans="1:2" ht="14.25" customHeight="1">
      <c r="A34" s="111">
        <v>2</v>
      </c>
      <c r="B34" s="112" t="s">
        <v>5798</v>
      </c>
    </row>
    <row r="35" spans="1:2" ht="11.25" customHeight="1">
      <c r="B35" s="110" t="s">
        <v>5799</v>
      </c>
    </row>
    <row r="36" spans="1:2" ht="11.25" customHeight="1">
      <c r="B36" s="112" t="s">
        <v>5800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1168F-C3A7-FC38-C843-47BB521616D1}">
  <sheetPr>
    <tabColor theme="3" tint="0.59999389629810485"/>
  </sheetPr>
  <dimension ref="A1:U17"/>
  <sheetViews>
    <sheetView showGridLines="0" topLeftCell="C5" zoomScale="90" workbookViewId="0"/>
  </sheetViews>
  <sheetFormatPr defaultColWidth="10.5703125" defaultRowHeight="14.25" customHeight="1"/>
  <cols>
    <col min="1" max="1" width="9.140625" style="1929" hidden="1" customWidth="1"/>
    <col min="2" max="2" width="9.140625" style="1928" hidden="1" customWidth="1"/>
    <col min="3" max="3" width="3.7109375" style="1921" customWidth="1"/>
    <col min="4" max="4" width="5.5703125" style="1928" customWidth="1"/>
    <col min="5" max="5" width="38.140625" style="1928" customWidth="1"/>
    <col min="6" max="7" width="3.7109375" style="1928" customWidth="1"/>
    <col min="8" max="8" width="38.28515625" style="1928" customWidth="1"/>
    <col min="9" max="9" width="35.7109375" style="1928" customWidth="1"/>
    <col min="10" max="10" width="103.7109375" style="1928" customWidth="1"/>
    <col min="11" max="11" width="3.7109375" style="1906" customWidth="1"/>
    <col min="12" max="14" width="10.5703125" style="1926"/>
    <col min="15" max="15" width="13.7109375" style="1926" customWidth="1"/>
    <col min="16" max="16" width="15.42578125" style="1926" customWidth="1"/>
    <col min="17" max="17" width="16.28515625" style="1926" customWidth="1"/>
    <col min="18" max="21" width="10.5703125" style="1926"/>
  </cols>
  <sheetData>
    <row r="1" spans="1:21" ht="14.25" hidden="1" customHeight="1">
      <c r="E1" s="346"/>
      <c r="F1" s="346"/>
      <c r="G1" s="346"/>
      <c r="H1" s="2237" t="s">
        <v>343</v>
      </c>
      <c r="I1" s="2237"/>
    </row>
    <row r="2" spans="1:21" s="1924" customFormat="1" ht="14.25" hidden="1" customHeight="1">
      <c r="C2" s="1531"/>
      <c r="D2" s="2250" t="s">
        <v>108</v>
      </c>
      <c r="E2" s="2252"/>
      <c r="F2" s="1537"/>
      <c r="G2" s="1532" t="s">
        <v>108</v>
      </c>
      <c r="H2" s="1535"/>
      <c r="I2" s="1533"/>
      <c r="L2" s="1534"/>
      <c r="M2" s="1534"/>
      <c r="N2" s="1534"/>
      <c r="O2" s="1534" t="s">
        <v>373</v>
      </c>
      <c r="P2" s="1534"/>
      <c r="Q2" s="1534"/>
      <c r="R2" s="1536" t="s">
        <v>372</v>
      </c>
      <c r="S2" s="1536" t="s">
        <v>372</v>
      </c>
      <c r="T2" s="1534"/>
      <c r="U2" s="1534"/>
    </row>
    <row r="3" spans="1:21" s="1924" customFormat="1" ht="14.25" hidden="1" customHeight="1">
      <c r="C3" s="1531"/>
      <c r="D3" s="2251"/>
      <c r="E3" s="2253"/>
      <c r="F3" s="339"/>
      <c r="G3" s="782"/>
      <c r="H3" s="782" t="s">
        <v>374</v>
      </c>
      <c r="I3" s="233"/>
      <c r="L3" s="1534"/>
      <c r="M3" s="1534"/>
      <c r="N3" s="1534"/>
      <c r="O3" s="1534"/>
      <c r="P3" s="1534"/>
      <c r="Q3" s="1534"/>
      <c r="R3" s="1536"/>
      <c r="S3" s="1536"/>
      <c r="T3" s="1534"/>
      <c r="U3" s="1534"/>
    </row>
    <row r="4" spans="1:21" ht="14.25" hidden="1" customHeight="1"/>
    <row r="5" spans="1:21" s="1925" customFormat="1" ht="6" customHeight="1">
      <c r="C5" s="620"/>
      <c r="D5" s="621"/>
      <c r="E5" s="621"/>
      <c r="F5" s="621"/>
      <c r="G5" s="621"/>
      <c r="H5" s="621" t="s">
        <v>347</v>
      </c>
      <c r="I5" s="621"/>
      <c r="J5" s="621"/>
      <c r="L5" s="1527"/>
      <c r="M5" s="1527"/>
      <c r="N5" s="1527"/>
      <c r="O5" s="1527"/>
      <c r="P5" s="1527"/>
      <c r="Q5" s="1527"/>
      <c r="R5" s="1527"/>
      <c r="S5" s="1527"/>
      <c r="T5" s="1527"/>
      <c r="U5" s="1527"/>
    </row>
    <row r="6" spans="1:21" ht="27.75" customHeight="1">
      <c r="C6" s="1426"/>
      <c r="D6" s="2254" t="s">
        <v>375</v>
      </c>
      <c r="E6" s="2254"/>
      <c r="F6" s="2254"/>
      <c r="G6" s="2254"/>
      <c r="H6" s="2254"/>
      <c r="I6" s="2254"/>
      <c r="J6" s="417"/>
      <c r="K6" s="1528"/>
    </row>
    <row r="7" spans="1:21" ht="17.25" customHeight="1">
      <c r="C7" s="1426"/>
      <c r="D7" s="2200" t="str">
        <f>IF(org=0,"Не определено",org)</f>
        <v>ПАО "Юнипро"</v>
      </c>
      <c r="E7" s="2200"/>
      <c r="F7" s="2200"/>
      <c r="G7" s="2200"/>
      <c r="H7" s="2200"/>
      <c r="I7" s="2200"/>
      <c r="J7" s="417"/>
      <c r="K7" s="1528"/>
    </row>
    <row r="8" spans="1:21" s="1927" customFormat="1" ht="6" customHeight="1">
      <c r="A8" s="1526"/>
      <c r="C8" s="412"/>
      <c r="D8" s="411"/>
      <c r="E8" s="411"/>
      <c r="F8" s="411"/>
      <c r="G8" s="411"/>
      <c r="H8" s="411"/>
      <c r="I8" s="411"/>
      <c r="J8" s="411"/>
      <c r="L8" s="1527"/>
      <c r="M8" s="1527"/>
      <c r="N8" s="1527"/>
      <c r="O8" s="1527"/>
      <c r="P8" s="1527"/>
      <c r="Q8" s="1527"/>
      <c r="R8" s="1527"/>
      <c r="S8" s="1527"/>
      <c r="T8" s="1527"/>
      <c r="U8" s="1527"/>
    </row>
    <row r="9" spans="1:21" s="1927" customFormat="1" ht="6" customHeight="1">
      <c r="A9" s="1526"/>
      <c r="C9" s="412"/>
      <c r="D9" s="411"/>
      <c r="E9" s="411"/>
      <c r="F9" s="411"/>
      <c r="G9" s="411"/>
      <c r="H9" s="411"/>
      <c r="I9" s="411"/>
      <c r="J9" s="411"/>
      <c r="L9" s="1534"/>
      <c r="M9" s="1534"/>
      <c r="N9" s="1534"/>
      <c r="O9" s="1534"/>
      <c r="P9" s="1534"/>
      <c r="Q9" s="1534"/>
      <c r="R9" s="1534"/>
      <c r="S9" s="1534"/>
      <c r="T9" s="1534"/>
      <c r="U9" s="1534"/>
    </row>
    <row r="10" spans="1:21" ht="14.25" customHeight="1">
      <c r="C10" s="1426"/>
      <c r="D10" s="2238" t="s">
        <v>289</v>
      </c>
      <c r="E10" s="2239"/>
      <c r="F10" s="2239"/>
      <c r="G10" s="2239"/>
      <c r="H10" s="2239"/>
      <c r="I10" s="2239"/>
      <c r="J10" s="2171" t="s">
        <v>290</v>
      </c>
    </row>
    <row r="11" spans="1:21" ht="25.5" customHeight="1">
      <c r="C11" s="1426"/>
      <c r="D11" s="2143" t="s">
        <v>87</v>
      </c>
      <c r="E11" s="2171" t="str">
        <f>IF(TEMPLATE_SPHERE&lt;&gt;"HEAT","Регулируемый вид деятельности","Вид регулируемой деятельности")</f>
        <v>Регулируемый вид деятельности</v>
      </c>
      <c r="F11" s="2214" t="s">
        <v>87</v>
      </c>
      <c r="G11" s="2215"/>
      <c r="H11" s="2199" t="s">
        <v>376</v>
      </c>
      <c r="I11" s="2199" t="s">
        <v>377</v>
      </c>
      <c r="J11" s="2171"/>
    </row>
    <row r="12" spans="1:21" ht="14.25" customHeight="1">
      <c r="C12" s="1426"/>
      <c r="D12" s="2143"/>
      <c r="E12" s="2171"/>
      <c r="F12" s="2219"/>
      <c r="G12" s="2220"/>
      <c r="H12" s="2249"/>
      <c r="I12" s="2249"/>
      <c r="J12" s="2171"/>
    </row>
    <row r="13" spans="1:21" s="1819" customFormat="1" ht="11.25" hidden="1" customHeight="1">
      <c r="C13" s="424"/>
      <c r="D13" s="425" t="s">
        <v>367</v>
      </c>
      <c r="E13" s="425"/>
      <c r="F13" s="425"/>
      <c r="G13" s="425"/>
      <c r="H13" s="423"/>
      <c r="I13" s="423"/>
      <c r="J13" s="367"/>
      <c r="L13" s="1527"/>
      <c r="M13" s="1527"/>
      <c r="N13" s="1527"/>
      <c r="O13" s="1527"/>
      <c r="P13" s="1527"/>
      <c r="Q13" s="1527"/>
      <c r="R13" s="1527"/>
      <c r="S13" s="1527"/>
      <c r="T13" s="1527"/>
      <c r="U13" s="1527"/>
    </row>
    <row r="14" spans="1:21" ht="14.25" customHeight="1">
      <c r="A14" s="1524"/>
      <c r="C14" s="1426"/>
      <c r="D14" s="2250" t="s">
        <v>108</v>
      </c>
      <c r="E14" s="2252"/>
      <c r="F14" s="1530"/>
      <c r="G14" s="1529" t="s">
        <v>108</v>
      </c>
      <c r="H14" s="1535"/>
      <c r="I14" s="1533"/>
      <c r="J14" s="2185" t="s">
        <v>378</v>
      </c>
      <c r="K14" s="1524"/>
      <c r="R14" s="426" t="s">
        <v>372</v>
      </c>
      <c r="S14" s="426" t="s">
        <v>372</v>
      </c>
    </row>
    <row r="15" spans="1:21" ht="14.25" customHeight="1">
      <c r="A15" s="1524"/>
      <c r="C15" s="1426"/>
      <c r="D15" s="2251"/>
      <c r="E15" s="2253"/>
      <c r="F15" s="339"/>
      <c r="G15" s="782"/>
      <c r="H15" s="782" t="s">
        <v>374</v>
      </c>
      <c r="I15" s="233"/>
      <c r="J15" s="2186"/>
      <c r="K15" s="1524"/>
      <c r="R15" s="426"/>
      <c r="S15" s="426"/>
    </row>
    <row r="16" spans="1:21" ht="14.25" customHeight="1">
      <c r="A16" s="1524"/>
      <c r="C16" s="1426"/>
      <c r="D16" s="339"/>
      <c r="E16" s="782" t="s">
        <v>120</v>
      </c>
      <c r="F16" s="233"/>
      <c r="G16" s="233"/>
      <c r="H16" s="340"/>
      <c r="I16" s="340"/>
      <c r="J16" s="2187"/>
      <c r="K16" s="1524"/>
    </row>
    <row r="17" spans="11:11" ht="14.25" customHeight="1">
      <c r="K17" s="1524"/>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86</vt:i4>
      </vt:variant>
      <vt:variant>
        <vt:lpstr>Именованные диапазоны</vt:lpstr>
      </vt:variant>
      <vt:variant>
        <vt:i4>1914</vt:i4>
      </vt:variant>
    </vt:vector>
  </HeadingPairs>
  <TitlesOfParts>
    <vt:vector size="200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Комментарии</vt:lpstr>
      <vt:lpstr>Проверка</vt:lpstr>
      <vt:lpstr>et_union_hor</vt:lpstr>
      <vt:lpstr>TEHSHEET</vt:lpstr>
      <vt:lpstr>DATA_FORMS</vt:lpstr>
      <vt:lpstr>DATA_NPA</vt:lpstr>
      <vt:lpstr>Т-ТЭ | потр</vt:lpstr>
      <vt:lpstr>Т-ТЭ | предел</vt:lpstr>
      <vt:lpstr>Т-ТЭ | индикат</vt:lpstr>
      <vt:lpstr>Т-подкл(инд)</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Котляревский Георгий Александрович</cp:lastModifiedBy>
  <cp:lastPrinted>2013-08-29T08:11:20Z</cp:lastPrinted>
  <dcterms:created xsi:type="dcterms:W3CDTF">2004-05-21T07:18:45Z</dcterms:created>
  <dcterms:modified xsi:type="dcterms:W3CDTF">2023-12-20T02:45:00Z</dcterms:modified>
</cp:coreProperties>
</file>